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7.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24" yWindow="65452" windowWidth="15576" windowHeight="9816" tabRatio="594" firstSheet="2" activeTab="3"/>
  </bookViews>
  <sheets>
    <sheet name="Economic Values" sheetId="1" r:id="rId1"/>
    <sheet name="Installed Base of Machinery" sheetId="2" r:id="rId2"/>
    <sheet name="Energy &amp; GHG All Refrig. Cycles" sheetId="3" r:id="rId3"/>
    <sheet name="AC Energy Calc" sheetId="4" r:id="rId4"/>
    <sheet name="AC Summary" sheetId="5" r:id="rId5"/>
    <sheet name="AC per Household" sheetId="6" r:id="rId6"/>
    <sheet name="AC Refrigerant Stock" sheetId="7" r:id="rId7"/>
    <sheet name="Chillers" sheetId="8" r:id="rId8"/>
    <sheet name="Cold Food Chain" sheetId="9" r:id="rId9"/>
    <sheet name="CC-Cold Storage " sheetId="10" r:id="rId10"/>
    <sheet name="CC-Supermarket" sheetId="11" r:id="rId11"/>
    <sheet name="CC-Coolrooms" sheetId="12" r:id="rId12"/>
    <sheet name="CC-Industrial" sheetId="13" r:id="rId13"/>
    <sheet name="CC-Merch" sheetId="14" r:id="rId14"/>
    <sheet name="CC-Ref Transport" sheetId="15" r:id="rId15"/>
    <sheet name="Auto Air" sheetId="16" r:id="rId16"/>
    <sheet name="Domestic Appliances" sheetId="17" r:id="rId17"/>
    <sheet name="Comp-Cond Unit-Data" sheetId="18" r:id="rId18"/>
    <sheet name="Refrigerant-Check" sheetId="19" r:id="rId19"/>
    <sheet name="AC Calculation WSheet" sheetId="20" r:id="rId20"/>
    <sheet name="Split Systems-Industry Data" sheetId="21" r:id="rId21"/>
    <sheet name="RT Packaged-Industry Data" sheetId="22" r:id="rId22"/>
    <sheet name="WHS System-Industry Data" sheetId="23" r:id="rId23"/>
    <sheet name="Gas Ducted-Industry Data" sheetId="24" r:id="rId24"/>
    <sheet name="Greenhouse Emission Factors" sheetId="25" r:id="rId25"/>
    <sheet name="Areas of Improvement" sheetId="26" r:id="rId26"/>
  </sheets>
  <definedNames/>
  <calcPr fullCalcOnLoad="1"/>
</workbook>
</file>

<file path=xl/comments1.xml><?xml version="1.0" encoding="utf-8"?>
<comments xmlns="http://schemas.openxmlformats.org/spreadsheetml/2006/main">
  <authors>
    <author>Michael McCann</author>
  </authors>
  <commentList>
    <comment ref="B4" authorId="0">
      <text>
        <r>
          <rPr>
            <sz val="8"/>
            <rFont val="Tahoma"/>
            <family val="2"/>
          </rPr>
          <t>See comment at cell G13, Worksheet: 'AC Summary. This estimate is based on the assumption that for every person directly employed installing systems there is at least another .5 of a person employed in admin, sales, maintenance and ancillary services in the domestic airconditioning industry that is not involved in the non-residential industry</t>
        </r>
      </text>
    </comment>
    <comment ref="B3" authorId="0">
      <text>
        <r>
          <rPr>
            <b/>
            <sz val="8"/>
            <rFont val="Tahoma"/>
            <family val="2"/>
          </rPr>
          <t>2006 estimate by Energy Strategies includes workforce along the supply chain for HVAC services in non-residential building and including maintenance personnel but does not include facilities managers. This estimate was intended to cover specialist close control and large chiller enterprises.</t>
        </r>
      </text>
    </comment>
    <comment ref="B5" authorId="0">
      <text>
        <r>
          <rPr>
            <b/>
            <sz val="8"/>
            <rFont val="Tahoma"/>
            <family val="2"/>
          </rPr>
          <t>Swire's, with ~21% of all estimated cold storage employs 1200 people.</t>
        </r>
      </text>
    </comment>
    <comment ref="B12" authorId="0">
      <text>
        <r>
          <rPr>
            <b/>
            <sz val="8"/>
            <rFont val="Tahoma"/>
            <family val="2"/>
          </rPr>
          <t>2006 estimate by Energy Strategies of the value of the 'Climate Control' industry includes the 'energy spend', cost of new systems, maintenance and replacement parts on existing systems and engineering consulting.</t>
        </r>
      </text>
    </comment>
    <comment ref="B6" authorId="0">
      <text>
        <r>
          <rPr>
            <sz val="8"/>
            <rFont val="Tahoma"/>
            <family val="2"/>
          </rPr>
          <t xml:space="preserve">Estimate one full time driver for every refrigerated vehicle
</t>
        </r>
      </text>
    </comment>
    <comment ref="B13" authorId="0">
      <text>
        <r>
          <rPr>
            <b/>
            <sz val="8"/>
            <rFont val="Tahoma"/>
            <family val="2"/>
          </rPr>
          <t>See Worksheet: 'AC Summary'</t>
        </r>
      </text>
    </comment>
    <comment ref="B14" authorId="0">
      <text>
        <r>
          <rPr>
            <b/>
            <sz val="8"/>
            <rFont val="Tahoma"/>
            <family val="2"/>
          </rPr>
          <t>See Worksheet: 'Domestic Appliances'</t>
        </r>
      </text>
    </comment>
    <comment ref="B7" authorId="0">
      <text>
        <r>
          <rPr>
            <b/>
            <sz val="8"/>
            <rFont val="Tahoma"/>
            <family val="2"/>
          </rPr>
          <t xml:space="preserve">Approximately 16,000 individuals have been licenced under the Australian Refrigeration Council licensinig scheme to work on mobile systems, approximately 14,000 busineses have applied for Trading Authorisations to purchase and handle bulk refrigerant gases. This estimate assumes that for every licenced technician there is another .5 of a person employed directly in admin, sales and ancillary services in the vehicle airconditioning industry </t>
        </r>
      </text>
    </comment>
    <comment ref="B15" authorId="0">
      <text>
        <r>
          <rPr>
            <b/>
            <sz val="8"/>
            <rFont val="Tahoma"/>
            <family val="2"/>
          </rPr>
          <t>62,000 multiplied by 2006 adult annual average wage $51,637</t>
        </r>
      </text>
    </comment>
    <comment ref="B17" authorId="0">
      <text>
        <r>
          <rPr>
            <b/>
            <sz val="8"/>
            <rFont val="Tahoma"/>
            <family val="2"/>
          </rPr>
          <t>@$0.08c kWh, some commercial applications caught up here pay as little as $0.045c/kWh but residential and others will pay as high as $0.14c/kWh</t>
        </r>
      </text>
    </comment>
    <comment ref="B16" authorId="0">
      <text>
        <r>
          <rPr>
            <b/>
            <sz val="8"/>
            <rFont val="Tahoma"/>
            <family val="2"/>
          </rPr>
          <t>Waiting on value</t>
        </r>
      </text>
    </comment>
  </commentList>
</comments>
</file>

<file path=xl/comments10.xml><?xml version="1.0" encoding="utf-8"?>
<comments xmlns="http://schemas.openxmlformats.org/spreadsheetml/2006/main">
  <authors>
    <author>Michael McCann</author>
    <author> </author>
  </authors>
  <commentList>
    <comment ref="A18" authorId="0">
      <text>
        <r>
          <rPr>
            <sz val="8"/>
            <rFont val="Tahoma"/>
            <family val="2"/>
          </rPr>
          <t>Estimated as 15% of the sub-total of all the known refrigerated capacities.</t>
        </r>
      </text>
    </comment>
    <comment ref="A7" authorId="0">
      <text>
        <r>
          <rPr>
            <sz val="8"/>
            <rFont val="Tahoma"/>
            <family val="2"/>
          </rPr>
          <t>Swires, Oxford, Versacold and Toll own about 70% of the national total.</t>
        </r>
      </text>
    </comment>
    <comment ref="B20" authorId="0">
      <text>
        <r>
          <rPr>
            <b/>
            <sz val="8"/>
            <rFont val="Tahoma"/>
            <family val="2"/>
          </rPr>
          <t>Ratio of Freezers (low temp) to Chillers (medium temp)</t>
        </r>
        <r>
          <rPr>
            <sz val="8"/>
            <rFont val="Tahoma"/>
            <family val="2"/>
          </rPr>
          <t xml:space="preserve">
The ratio of Freezers to Chillers is different in Cold Storage to the rest of the food chain.  This difference in ratios may be explained as follows:
In retail, storage &amp; turn-over is driven by demand &amp; economics, GMROI (Gross Margin Return on Inventory).  A proven industry ratio (based on forecasts of compressors/condensing units) in Commercial refrigeration is 20% low temp &amp; 80% medium temp.  This is similar to the ratio of freezers to refrigerated space in domestic refrigeration (pp 12 CSIRO).
In Cold Storage the ratio is not as clear cut as facilities are often designed to do both &amp; switch depending on clients' needs.  On pp 10, CSIRO make reference to a USDA study 2006 that shows cold store use is generally 50% freezer and 50% refrigerated.  
Goods stored in chillers generally have a have a shorter shelf life &amp; turn-over in weeks.  Whereas goods in freezers have longer shelf lifes &amp; turn-over every 2 to 3 months.  Manufacturers take advantage of the longer shelf life which results in a higher ratio of freezer to chiller than seen in commercial refrigeration, retail or households. </t>
        </r>
      </text>
    </comment>
    <comment ref="D3" authorId="1">
      <text>
        <r>
          <rPr>
            <sz val="8"/>
            <rFont val="Tahoma"/>
            <family val="2"/>
          </rPr>
          <t>Data derived from different sources: - 
- Sites/refrigerants based on Swire document dated Aug 2004
- Initial m3 capacities based info on www.rwta.com.au/
- Other Vic/Qld/etc updated from www.swirecoldstorage.com.au
- New NSW sites from CSIRO study 
- Accuracy could be improved via phone calls to regional Swire engineers.</t>
        </r>
      </text>
    </comment>
    <comment ref="A3" authorId="0">
      <text>
        <r>
          <rPr>
            <sz val="8"/>
            <rFont val="Tahoma"/>
            <family val="2"/>
          </rPr>
          <t>Capacities estimated by Dr Silvia Estrado-Flores from CSIRO Food Futures, November 2006</t>
        </r>
      </text>
    </comment>
    <comment ref="G35" authorId="1">
      <text>
        <r>
          <rPr>
            <sz val="8"/>
            <rFont val="Tahoma"/>
            <family val="2"/>
          </rPr>
          <t>Swire Energy cost is very low, probably below cost of production and distribution, however such a low price is not uncommon, a major Supermarket chain currently pays 3.5 to 4c per kWh.</t>
        </r>
      </text>
    </comment>
  </commentList>
</comments>
</file>

<file path=xl/comments11.xml><?xml version="1.0" encoding="utf-8"?>
<comments xmlns="http://schemas.openxmlformats.org/spreadsheetml/2006/main">
  <authors>
    <author> </author>
  </authors>
  <commentList>
    <comment ref="A25" authorId="0">
      <text>
        <r>
          <rPr>
            <sz val="8"/>
            <rFont val="Tahoma"/>
            <family val="2"/>
          </rPr>
          <t>Mark Ellis &amp; Ass, 2000 
MEPS for Remote Commercial Refrig.
Total Energy Consumed = 4,380 GWh/yr in 2000, growing at 4.8%
2006 = 5,800 GWH/YR</t>
        </r>
      </text>
    </comment>
    <comment ref="A35" authorId="0">
      <text>
        <r>
          <rPr>
            <sz val="8"/>
            <rFont val="Tahoma"/>
            <family val="2"/>
          </rPr>
          <t>Estimate used by CSIRO
Based on Mark Ellis &amp; Ass Reports</t>
        </r>
      </text>
    </comment>
    <comment ref="A34" authorId="0">
      <text>
        <r>
          <rPr>
            <sz val="8"/>
            <rFont val="Tahoma"/>
            <family val="2"/>
          </rPr>
          <t>Mark Ellis &amp; Ass, 2000 
MEPS for Self Contained Commercial Refrig.
Total Energy Consumed = 2,200 GWh/a in 2000
Growth rate = 4.8%</t>
        </r>
      </text>
    </comment>
    <comment ref="A11" authorId="0">
      <text>
        <r>
          <rPr>
            <sz val="8"/>
            <rFont val="Tahoma"/>
            <family val="2"/>
          </rPr>
          <t xml:space="preserve">Mark Ellis &amp; Ass, 2000 
MEPS for Remote Commercial Refrig.
</t>
        </r>
      </text>
    </comment>
    <comment ref="A2" authorId="0">
      <text>
        <r>
          <rPr>
            <sz val="8"/>
            <rFont val="Tahoma"/>
            <family val="2"/>
          </rPr>
          <t xml:space="preserve">Source:
K Finn, Heatcraft, 2007
Cold Chain Specialist
Calculation based on:
- Refrigeration Capacity in Supermarket Specifications
- Av. COP = 2.5
- Typical Running time = 16 hrs
</t>
        </r>
      </text>
    </comment>
    <comment ref="D60" authorId="0">
      <text>
        <r>
          <rPr>
            <sz val="8"/>
            <rFont val="Tahoma"/>
            <family val="2"/>
          </rPr>
          <t>Includes all charges Energy, Network &amp; Other</t>
        </r>
      </text>
    </comment>
  </commentList>
</comments>
</file>

<file path=xl/comments12.xml><?xml version="1.0" encoding="utf-8"?>
<comments xmlns="http://schemas.openxmlformats.org/spreadsheetml/2006/main">
  <authors>
    <author> </author>
  </authors>
  <commentList>
    <comment ref="B22" authorId="0">
      <text>
        <r>
          <rPr>
            <sz val="8"/>
            <rFont val="Tahoma"/>
            <family val="2"/>
          </rPr>
          <t xml:space="preserve"> Mark Ellis &amp; Ass estimate Cool Room Condenser market to be 23,500 units in 2000
</t>
        </r>
      </text>
    </comment>
    <comment ref="P9" authorId="0">
      <text>
        <r>
          <rPr>
            <sz val="8"/>
            <rFont val="Tahoma"/>
            <family val="2"/>
          </rPr>
          <t>Assumed 70:30 split between Primary/Farm : Secondary Processing</t>
        </r>
      </text>
    </comment>
    <comment ref="A26" authorId="0">
      <text>
        <r>
          <rPr>
            <sz val="8"/>
            <rFont val="Tahoma"/>
            <family val="2"/>
          </rPr>
          <t>Mark Ellis &amp; Ass, 2000 
MEPS for Self Contained Commercial Refrig.
Typical walk-in freezers are estimated to consume approximately 15,500 kWh per year, and typical walkin refrigerators approximately 42,300 kWh/yr.</t>
        </r>
      </text>
    </comment>
  </commentList>
</comments>
</file>

<file path=xl/comments14.xml><?xml version="1.0" encoding="utf-8"?>
<comments xmlns="http://schemas.openxmlformats.org/spreadsheetml/2006/main">
  <authors>
    <author> </author>
  </authors>
  <commentList>
    <comment ref="C8" authorId="0">
      <text>
        <r>
          <rPr>
            <sz val="8"/>
            <rFont val="Tahoma"/>
            <family val="2"/>
          </rPr>
          <t xml:space="preserve">MEPS 2001 Doc, vending machines, seems high relative to merchandisers???
</t>
        </r>
      </text>
    </comment>
    <comment ref="A7" authorId="0">
      <text>
        <r>
          <rPr>
            <sz val="8"/>
            <rFont val="Tahoma"/>
            <family val="2"/>
          </rPr>
          <t xml:space="preserve">Data from MEPS Profile 2004
</t>
        </r>
      </text>
    </comment>
    <comment ref="C7" authorId="0">
      <text>
        <r>
          <rPr>
            <sz val="8"/>
            <rFont val="Tahoma"/>
            <family val="2"/>
          </rPr>
          <t xml:space="preserve">Weighted average calculation based on proportion of small, medium &amp; large
</t>
        </r>
      </text>
    </comment>
    <comment ref="C11" authorId="0">
      <text>
        <r>
          <rPr>
            <sz val="8"/>
            <rFont val="Tahoma"/>
            <family val="2"/>
          </rPr>
          <t>Not refrigerated, insulated pre-draining bins.  Some have mechanical dispensing, etc that consume power.</t>
        </r>
      </text>
    </comment>
    <comment ref="C3" authorId="0">
      <text>
        <r>
          <rPr>
            <sz val="8"/>
            <rFont val="Tahoma"/>
            <family val="2"/>
          </rPr>
          <t>See data in Mark Ellis docs for supermarket self contained display cases.</t>
        </r>
      </text>
    </comment>
    <comment ref="A11" authorId="0">
      <text>
        <r>
          <rPr>
            <sz val="8"/>
            <rFont val="Tahoma"/>
            <family val="2"/>
          </rPr>
          <t xml:space="preserve">Data from MEPS Profile 2004
</t>
        </r>
      </text>
    </comment>
  </commentList>
</comments>
</file>

<file path=xl/comments15.xml><?xml version="1.0" encoding="utf-8"?>
<comments xmlns="http://schemas.openxmlformats.org/spreadsheetml/2006/main">
  <authors>
    <author> </author>
  </authors>
  <commentList>
    <comment ref="F1" authorId="0">
      <text>
        <r>
          <rPr>
            <sz val="8"/>
            <rFont val="Tahoma"/>
            <family val="2"/>
          </rPr>
          <t xml:space="preserve">Existing stock of Refrigerated Transport was estimated by Price Waterhouse to be 5,000 units in 1994.  
Equiv. to 11,250 with a growth rate of 7% p.a. over 12 years.
</t>
        </r>
      </text>
    </comment>
    <comment ref="B1" authorId="0">
      <text>
        <r>
          <rPr>
            <sz val="8"/>
            <rFont val="Tahoma"/>
            <family val="2"/>
          </rPr>
          <t>kW rating @ 2 Deg Celsius</t>
        </r>
      </text>
    </comment>
    <comment ref="A5" authorId="0">
      <text>
        <r>
          <rPr>
            <sz val="8"/>
            <rFont val="Tahoma"/>
            <family val="2"/>
          </rPr>
          <t>Refrigerated Marine Containers are generally not considered part of the rolling stock of refrigerated transport as it enters/exists via port.
They do travel inland to dispatch goods &amp; transport coys are purchasing generator sets to accommodate journey.
Aust Bureau of Statistics in quoted that 3% of containers are refrigerated based on tonnage moved p.a. refer article 9220.0 Freight Movements, Australia, Summary</t>
        </r>
      </text>
    </comment>
    <comment ref="C6" authorId="0">
      <text>
        <r>
          <rPr>
            <sz val="8"/>
            <rFont val="Tahoma"/>
            <family val="2"/>
          </rPr>
          <t>Carrier Transicold believe closer to 2000p.a, however Thermoking's estimate is probably closer as there are lots of smaller players offering equipment in this product segment</t>
        </r>
      </text>
    </comment>
    <comment ref="A19" authorId="0">
      <text>
        <r>
          <rPr>
            <sz val="8"/>
            <rFont val="Tahoma"/>
            <family val="2"/>
          </rPr>
          <t>Australian Bureau of Statistics, Survey of Motor Vehicle Use, Cat No 9208.0, various (Not incl. campervans).</t>
        </r>
      </text>
    </comment>
    <comment ref="A9" authorId="0">
      <text>
        <r>
          <rPr>
            <sz val="8"/>
            <rFont val="Tahoma"/>
            <family val="2"/>
          </rPr>
          <t>Australian Bureau of Statistics, Survey of Motor Vehicle Use, Cat No 9208.0, various (Not incl. campervans).</t>
        </r>
      </text>
    </comment>
    <comment ref="A2" authorId="0">
      <text>
        <r>
          <rPr>
            <sz val="8"/>
            <rFont val="Tahoma"/>
            <family val="2"/>
          </rPr>
          <t>Application: Articulated Trailers up to 48ft long</t>
        </r>
      </text>
    </comment>
    <comment ref="A3" authorId="0">
      <text>
        <r>
          <rPr>
            <sz val="8"/>
            <rFont val="Tahoma"/>
            <family val="2"/>
          </rPr>
          <t>Application: Rigid Market 3 to 8 ton Trucks (6/8/10/12/1416/18 Pallet, Insulated or Curtain</t>
        </r>
      </text>
    </comment>
    <comment ref="A4" authorId="0">
      <text>
        <r>
          <rPr>
            <sz val="8"/>
            <rFont val="Tahoma"/>
            <family val="2"/>
          </rPr>
          <t>Application: 1 to 4 ton Trucks</t>
        </r>
      </text>
    </comment>
    <comment ref="L18" authorId="0">
      <text>
        <r>
          <rPr>
            <sz val="8"/>
            <rFont val="Tahoma"/>
            <family val="2"/>
          </rPr>
          <t>ABS9309.0 
Av. Growth rate from 2002 to 2006</t>
        </r>
      </text>
    </comment>
    <comment ref="C15" authorId="0">
      <text>
        <r>
          <rPr>
            <sz val="8"/>
            <rFont val="Tahoma"/>
            <family val="2"/>
          </rPr>
          <t>ABS estimate 3% of bulk shipping containers to be refrigerated, expect Articulated trucks to be slightly higher.</t>
        </r>
      </text>
    </comment>
  </commentList>
</comments>
</file>

<file path=xl/comments16.xml><?xml version="1.0" encoding="utf-8"?>
<comments xmlns="http://schemas.openxmlformats.org/spreadsheetml/2006/main">
  <authors>
    <author> </author>
    <author>user</author>
  </authors>
  <commentList>
    <comment ref="F2" authorId="0">
      <text>
        <r>
          <rPr>
            <sz val="8"/>
            <rFont val="Tahoma"/>
            <family val="2"/>
          </rPr>
          <t>ABS9309.0 
Av. Growth rate from 2002 to 2006</t>
        </r>
      </text>
    </comment>
    <comment ref="D4" authorId="0">
      <text>
        <r>
          <rPr>
            <sz val="8"/>
            <rFont val="Tahoma"/>
            <family val="2"/>
          </rPr>
          <t>Passenger vehicles used 15,856 million litres of petrol in the 12 months ended 31 October 2005, of which 95.6% (15,160 million litres) was unleaded petrol.  Remainder was Diesel.</t>
        </r>
      </text>
    </comment>
    <comment ref="K5" authorId="1">
      <text>
        <r>
          <rPr>
            <b/>
            <sz val="8"/>
            <rFont val="Tahoma"/>
            <family val="2"/>
          </rPr>
          <t>user:</t>
        </r>
        <r>
          <rPr>
            <sz val="8"/>
            <rFont val="Tahoma"/>
            <family val="2"/>
          </rPr>
          <t xml:space="preserve">
need amount of refrigerant per vehicle * number of vehicles * 20% * GWP</t>
        </r>
      </text>
    </comment>
    <comment ref="L6" authorId="1">
      <text>
        <r>
          <rPr>
            <b/>
            <sz val="8"/>
            <rFont val="Tahoma"/>
            <family val="2"/>
          </rPr>
          <t>user:</t>
        </r>
        <r>
          <rPr>
            <sz val="8"/>
            <rFont val="Tahoma"/>
            <family val="2"/>
          </rPr>
          <t xml:space="preserve">
assume same for LCVs</t>
        </r>
      </text>
    </comment>
    <comment ref="A7" authorId="1">
      <text>
        <r>
          <rPr>
            <b/>
            <sz val="8"/>
            <rFont val="Tahoma"/>
            <family val="2"/>
          </rPr>
          <t>user:</t>
        </r>
        <r>
          <rPr>
            <sz val="8"/>
            <rFont val="Tahoma"/>
            <family val="2"/>
          </rPr>
          <t xml:space="preserve">
assume mainly LPG
</t>
        </r>
      </text>
    </comment>
    <comment ref="N7" authorId="1">
      <text>
        <r>
          <rPr>
            <b/>
            <sz val="8"/>
            <rFont val="Tahoma"/>
            <family val="2"/>
          </rPr>
          <t>user:</t>
        </r>
        <r>
          <rPr>
            <sz val="8"/>
            <rFont val="Tahoma"/>
            <family val="2"/>
          </rPr>
          <t xml:space="preserve">
Assume rigid truck cab has similar A/C load as car. Car fuel can increase due to A/C while in use: 0.8 gallons/100 miles see US EPA ref in text box</t>
        </r>
      </text>
    </comment>
    <comment ref="N8" authorId="1">
      <text>
        <r>
          <rPr>
            <b/>
            <sz val="8"/>
            <rFont val="Tahoma"/>
            <family val="2"/>
          </rPr>
          <t>user:</t>
        </r>
        <r>
          <rPr>
            <sz val="8"/>
            <rFont val="Tahoma"/>
            <family val="2"/>
          </rPr>
          <t xml:space="preserve">
assume artic has half A/C load of rigid truck because of predominantly highway use plus nighttime driving</t>
        </r>
      </text>
    </comment>
    <comment ref="L10" authorId="0">
      <text>
        <r>
          <rPr>
            <sz val="8"/>
            <rFont val="Tahoma"/>
            <family val="2"/>
          </rPr>
          <t>Best Guess, requires study to qualify more accurate estimate by vehicle type</t>
        </r>
      </text>
    </comment>
    <comment ref="D12" authorId="0">
      <text>
        <r>
          <rPr>
            <sz val="8"/>
            <color indexed="14"/>
            <rFont val="Tahoma"/>
            <family val="2"/>
          </rPr>
          <t>Assume 100% diesel. 2185 million litres of diesel fuel was used by rigid trucks.</t>
        </r>
      </text>
    </comment>
    <comment ref="L12" authorId="1">
      <text>
        <r>
          <rPr>
            <b/>
            <sz val="8"/>
            <rFont val="Tahoma"/>
            <family val="2"/>
          </rPr>
          <t>user:</t>
        </r>
        <r>
          <rPr>
            <sz val="8"/>
            <rFont val="Tahoma"/>
            <family val="2"/>
          </rPr>
          <t xml:space="preserve">
data needed on hydrocarbon refrigerant market share</t>
        </r>
      </text>
    </comment>
    <comment ref="D14" authorId="1">
      <text>
        <r>
          <rPr>
            <b/>
            <sz val="8"/>
            <rFont val="Tahoma"/>
            <family val="2"/>
          </rPr>
          <t>user:</t>
        </r>
        <r>
          <rPr>
            <sz val="8"/>
            <rFont val="Tahoma"/>
            <family val="2"/>
          </rPr>
          <t xml:space="preserve">
Assume all diesel. Actual: 60 million litres of diesel.</t>
        </r>
      </text>
    </comment>
    <comment ref="D15" authorId="1">
      <text>
        <r>
          <rPr>
            <b/>
            <sz val="8"/>
            <rFont val="Tahoma"/>
            <family val="2"/>
          </rPr>
          <t>user:</t>
        </r>
        <r>
          <rPr>
            <sz val="8"/>
            <rFont val="Tahoma"/>
            <family val="2"/>
          </rPr>
          <t xml:space="preserve">
Assume mainly diesel.  Actual 435 mill L diesel</t>
        </r>
      </text>
    </comment>
    <comment ref="E15" authorId="1">
      <text>
        <r>
          <rPr>
            <b/>
            <sz val="8"/>
            <rFont val="Tahoma"/>
            <family val="2"/>
          </rPr>
          <t>user:</t>
        </r>
        <r>
          <rPr>
            <sz val="8"/>
            <rFont val="Tahoma"/>
            <family val="2"/>
          </rPr>
          <t xml:space="preserve">
assume bus A/C fuel use is similar proportion of total fuel use as per car.</t>
        </r>
      </text>
    </comment>
    <comment ref="I15" authorId="1">
      <text>
        <r>
          <rPr>
            <b/>
            <sz val="8"/>
            <rFont val="Tahoma"/>
            <family val="2"/>
          </rPr>
          <t>user:</t>
        </r>
        <r>
          <rPr>
            <sz val="8"/>
            <rFont val="Tahoma"/>
            <family val="2"/>
          </rPr>
          <t xml:space="preserve">
based on small coach = 4.2 kg &amp; large = 22kg source?</t>
        </r>
      </text>
    </comment>
    <comment ref="C17" authorId="0">
      <text>
        <r>
          <rPr>
            <sz val="8"/>
            <rFont val="Tahoma"/>
            <family val="2"/>
          </rPr>
          <t xml:space="preserve">64.6% of fuel was petrol and 30.0% was diesel fuel.
</t>
        </r>
      </text>
    </comment>
    <comment ref="A33" authorId="0">
      <text>
        <r>
          <rPr>
            <sz val="8"/>
            <rFont val="Tahoma"/>
            <family val="2"/>
          </rPr>
          <t xml:space="preserve">Source: From 1995 vehicle registration data was sourced from the ABS Motor Vehicle Census (9309.0) as the Motor Vehicle Registrations publication was discontinued.  Data exclude plant equipment, caravans and trailers.
</t>
        </r>
      </text>
    </comment>
  </commentList>
</comments>
</file>

<file path=xl/comments17.xml><?xml version="1.0" encoding="utf-8"?>
<comments xmlns="http://schemas.openxmlformats.org/spreadsheetml/2006/main">
  <authors>
    <author> </author>
  </authors>
  <commentList>
    <comment ref="A2" authorId="0">
      <text>
        <r>
          <rPr>
            <sz val="8"/>
            <rFont val="Tahoma"/>
            <family val="2"/>
          </rPr>
          <t>Ownership can exceed 1.0</t>
        </r>
      </text>
    </comment>
    <comment ref="A3" authorId="0">
      <text>
        <r>
          <rPr>
            <sz val="8"/>
            <rFont val="Tahoma"/>
            <family val="2"/>
          </rPr>
          <t>Sources:
ABS4442.0 Family Characteristics - June 2003
ABS3236.0 Household &amp; Family Projections - 2001 to 2026</t>
        </r>
      </text>
    </comment>
  </commentList>
</comments>
</file>

<file path=xl/comments18.xml><?xml version="1.0" encoding="utf-8"?>
<comments xmlns="http://schemas.openxmlformats.org/spreadsheetml/2006/main">
  <authors>
    <author> </author>
  </authors>
  <commentList>
    <comment ref="A14" authorId="0">
      <text>
        <r>
          <rPr>
            <sz val="8"/>
            <rFont val="Tahoma"/>
            <family val="2"/>
          </rPr>
          <t xml:space="preserve">9 or 10 Compressors per Supermarket
</t>
        </r>
      </text>
    </comment>
    <comment ref="A10" authorId="0">
      <text>
        <r>
          <rPr>
            <sz val="8"/>
            <rFont val="Tahoma"/>
            <family val="2"/>
          </rPr>
          <t>2002 Data from Market Leader/supplier of Condensing Units. 
80% Medium Temp
20% Low Temp - Freezer</t>
        </r>
      </text>
    </comment>
    <comment ref="A9" authorId="0">
      <text>
        <r>
          <rPr>
            <sz val="8"/>
            <rFont val="Tahoma"/>
            <family val="2"/>
          </rPr>
          <t xml:space="preserve">Key suppliers include:
Mycom (Mayekawa), Bitzer, York (incl. Frickcold, Stahl, Sabroe), Howden, Grusso, Hitachi, Frascold, Hanbell
</t>
        </r>
      </text>
    </comment>
    <comment ref="C6" authorId="0">
      <text>
        <r>
          <rPr>
            <sz val="8"/>
            <rFont val="Tahoma"/>
            <family val="2"/>
          </rPr>
          <t xml:space="preserve">90-120 stores p.a.over last 5 years
10 Compressors/store
15% Repairs/Referb
</t>
        </r>
      </text>
    </comment>
    <comment ref="A3" authorId="0">
      <text>
        <r>
          <rPr>
            <sz val="8"/>
            <rFont val="Tahoma"/>
            <family val="2"/>
          </rPr>
          <t xml:space="preserve">2002 Data
80% Medium Temp
20% Low Temp - Freezer
</t>
        </r>
      </text>
    </comment>
    <comment ref="A7" authorId="0">
      <text>
        <r>
          <rPr>
            <sz val="8"/>
            <rFont val="Tahoma"/>
            <family val="2"/>
          </rPr>
          <t>Commercial AC compressors are used in RT Units, Ducted &amp; other equipment.
Market leader sells 75,000 into Aust &amp; NZ &amp; has up to 95% market share.</t>
        </r>
      </text>
    </comment>
  </commentList>
</comments>
</file>

<file path=xl/comments2.xml><?xml version="1.0" encoding="utf-8"?>
<comments xmlns="http://schemas.openxmlformats.org/spreadsheetml/2006/main">
  <authors>
    <author>Michael McCann</author>
  </authors>
  <commentList>
    <comment ref="A2" authorId="0">
      <text>
        <r>
          <rPr>
            <b/>
            <sz val="8"/>
            <rFont val="Tahoma"/>
            <family val="2"/>
          </rPr>
          <t>See Worksheet: 'Domestic Appliances'</t>
        </r>
      </text>
    </comment>
    <comment ref="A3" authorId="0">
      <text>
        <r>
          <rPr>
            <b/>
            <sz val="8"/>
            <rFont val="Tahoma"/>
            <family val="2"/>
          </rPr>
          <t>See Worksheet: 'AC per Household', cell I12 and Worksheet: 'AC Summary', column N.</t>
        </r>
      </text>
    </comment>
    <comment ref="A4" authorId="0">
      <text>
        <r>
          <rPr>
            <b/>
            <sz val="8"/>
            <rFont val="Tahoma"/>
            <family val="2"/>
          </rPr>
          <t>See Worksheet: 'Chillers', cell F77</t>
        </r>
      </text>
    </comment>
    <comment ref="A5" authorId="0">
      <text>
        <r>
          <rPr>
            <b/>
            <sz val="8"/>
            <rFont val="Tahoma"/>
            <family val="2"/>
          </rPr>
          <t xml:space="preserve">See Worksheet: 'CC-Cold Storage'
</t>
        </r>
      </text>
    </comment>
    <comment ref="A7" authorId="0">
      <text>
        <r>
          <rPr>
            <b/>
            <sz val="8"/>
            <rFont val="Tahoma"/>
            <family val="2"/>
          </rPr>
          <t>See Worksheet: 'CC-Coolrooms' Row 9. This figure exludes Supermarket and Cold Chain</t>
        </r>
      </text>
    </comment>
    <comment ref="A6" authorId="0">
      <text>
        <r>
          <rPr>
            <b/>
            <sz val="8"/>
            <rFont val="Tahoma"/>
            <family val="2"/>
          </rPr>
          <t>See Worksheet: 'CC-Supermarket', cell G8</t>
        </r>
      </text>
    </comment>
    <comment ref="A8" authorId="0">
      <text>
        <r>
          <rPr>
            <b/>
            <sz val="8"/>
            <rFont val="Tahoma"/>
            <family val="2"/>
          </rPr>
          <t>See Worksheet: CC-Merch</t>
        </r>
      </text>
    </comment>
    <comment ref="A9" authorId="0">
      <text>
        <r>
          <rPr>
            <b/>
            <sz val="8"/>
            <rFont val="Tahoma"/>
            <family val="2"/>
          </rPr>
          <t>See Worksheet: 'CC-Ref Transport'</t>
        </r>
      </text>
    </comment>
    <comment ref="A10" authorId="0">
      <text>
        <r>
          <rPr>
            <b/>
            <sz val="8"/>
            <rFont val="Tahoma"/>
            <family val="2"/>
          </rPr>
          <t>See Worksheet: 'Auto Air'</t>
        </r>
      </text>
    </comment>
  </commentList>
</comments>
</file>

<file path=xl/comments20.xml><?xml version="1.0" encoding="utf-8"?>
<comments xmlns="http://schemas.openxmlformats.org/spreadsheetml/2006/main">
  <authors>
    <author> </author>
    <author>Lovelocks</author>
  </authors>
  <commentList>
    <comment ref="V13" authorId="0">
      <text>
        <r>
          <rPr>
            <b/>
            <sz val="8"/>
            <rFont val="Tahoma"/>
            <family val="2"/>
          </rPr>
          <t xml:space="preserve">Informark 2003
</t>
        </r>
        <r>
          <rPr>
            <sz val="8"/>
            <rFont val="Tahoma"/>
            <family val="2"/>
          </rPr>
          <t xml:space="preserve">WHS = 399,044
Assume 90% Participation rate = 90%
Estimate units sold = 443,382 </t>
        </r>
      </text>
    </comment>
    <comment ref="T51" authorId="0">
      <text>
        <r>
          <rPr>
            <b/>
            <sz val="8"/>
            <rFont val="Tahoma"/>
            <family val="2"/>
          </rPr>
          <t xml:space="preserve">Informark 2003
</t>
        </r>
        <r>
          <rPr>
            <sz val="8"/>
            <rFont val="Tahoma"/>
            <family val="2"/>
          </rPr>
          <t xml:space="preserve">WHS = 399,044
Assume 90% Participation rate = 90%
Estimate units sold = 443,382 </t>
        </r>
      </text>
    </comment>
    <comment ref="W52" authorId="0">
      <text>
        <r>
          <rPr>
            <sz val="8"/>
            <rFont val="Tahoma"/>
            <family val="2"/>
          </rPr>
          <t>Possible anomally, however, difference b/n wall or window is less significant</t>
        </r>
      </text>
    </comment>
    <comment ref="U18" authorId="0">
      <text>
        <r>
          <rPr>
            <sz val="8"/>
            <rFont val="Tahoma"/>
            <family val="2"/>
          </rPr>
          <t>Value was 516,910, revised down to 316,910 as was not statistically consitent.</t>
        </r>
      </text>
    </comment>
    <comment ref="AH14" authorId="0">
      <text>
        <r>
          <rPr>
            <sz val="8"/>
            <rFont val="Tahoma"/>
            <family val="2"/>
          </rPr>
          <t>Estimate quoted by K Finn via Email Air report</t>
        </r>
      </text>
    </comment>
    <comment ref="AH20" authorId="0">
      <text>
        <r>
          <rPr>
            <sz val="8"/>
            <rFont val="Tahoma"/>
            <family val="2"/>
          </rPr>
          <t>Estimate quoted by K Finn via Email Air report</t>
        </r>
      </text>
    </comment>
    <comment ref="V19" authorId="0">
      <text>
        <r>
          <rPr>
            <sz val="8"/>
            <rFont val="Tahoma"/>
            <family val="2"/>
          </rPr>
          <t>Kelvinator plant stopped mfg window units around this time</t>
        </r>
      </text>
    </comment>
    <comment ref="T18" authorId="0">
      <text>
        <r>
          <rPr>
            <sz val="8"/>
            <rFont val="Tahoma"/>
            <family val="2"/>
          </rPr>
          <t xml:space="preserve">DEH Import Data
2006 = 166,807
2005 = 147,987
</t>
        </r>
      </text>
    </comment>
    <comment ref="W53" authorId="0">
      <text>
        <r>
          <rPr>
            <sz val="8"/>
            <rFont val="Tahoma"/>
            <family val="2"/>
          </rPr>
          <t xml:space="preserve">DEH Import Data
2006 = 166,807
2005 = 147,987
</t>
        </r>
      </text>
    </comment>
    <comment ref="L32" authorId="1">
      <text>
        <r>
          <rPr>
            <sz val="8"/>
            <rFont val="Tahoma"/>
            <family val="2"/>
          </rPr>
          <t>Annual rate for Commercial A/C of 425 p.a. based on the following: 
- 2005/6, 488 chillers sold over 528kW
- Historic Rate, consistently been around 400 chillers p.a.
- MEPS 2004 estimate of installed base 6,000 to 7,000 units
- Annual rate of 425 p.a. calculates an existing stock of 7,100 which is equiv. to av. MEPS estimate plus 3% growth rate.</t>
        </r>
      </text>
    </comment>
  </commentList>
</comments>
</file>

<file path=xl/comments21.xml><?xml version="1.0" encoding="utf-8"?>
<comments xmlns="http://schemas.openxmlformats.org/spreadsheetml/2006/main">
  <authors>
    <author> </author>
  </authors>
  <commentList>
    <comment ref="A2" authorId="0">
      <text>
        <r>
          <rPr>
            <sz val="8"/>
            <rFont val="Tahoma"/>
            <family val="2"/>
          </rPr>
          <t xml:space="preserve">The statistical Data was collected via industry sources &amp; used in conjunction with import data from DEH &amp; Import statistics from ABS.
Industry gain accurate information as follows:
- Market leaders with a significant share &amp; years of experience have a good understanding of market sizes/details by product category
- Unit volumes &amp; typical sizes are estimated at industry gatherings such as MEPS committees
- Several product categories are recorded by Informark, this information is only available to members that subscribe, 
  participants can estimate total market data by estimating participation rate
 </t>
        </r>
      </text>
    </comment>
    <comment ref="C2" authorId="0">
      <text>
        <r>
          <rPr>
            <sz val="8"/>
            <rFont val="Tahoma"/>
            <family val="2"/>
          </rPr>
          <t>Watts relates to nominal cooling capacity (ARI 26.1oC db/19.4oC wb air on &amp; 35oC ambient)</t>
        </r>
      </text>
    </comment>
    <comment ref="F2" authorId="0">
      <text>
        <r>
          <rPr>
            <sz val="8"/>
            <rFont val="Tahoma"/>
            <family val="2"/>
          </rPr>
          <t>Value ($000) p.a. is calculated by multiplying Av. Value (wholesale) x Quantity (units) p.a.
For better indication of the commercial value, multiply retail price by 2 to 4 times for total installed price (depending on technology &amp; complexity of application)
Eg 5kW Wall Mounted Hitachi Inverter Split = $1050/0.8 x 2 = $2,625.00 fully installed incl. GST
Eg 15kW split ducted system $3189/0.75 x 2.5 = $10,630.00 fully installed incl. GST
More complex installations use higher multipliers</t>
        </r>
      </text>
    </comment>
    <comment ref="G2" authorId="0">
      <text>
        <r>
          <rPr>
            <sz val="8"/>
            <rFont val="Tahoma"/>
            <family val="2"/>
          </rPr>
          <t xml:space="preserve">Av. value is at wholesale (equipment only, not installed) add 20 to 30% GM for retail </t>
        </r>
      </text>
    </comment>
  </commentList>
</comments>
</file>

<file path=xl/comments3.xml><?xml version="1.0" encoding="utf-8"?>
<comments xmlns="http://schemas.openxmlformats.org/spreadsheetml/2006/main">
  <authors>
    <author> </author>
    <author>Michael McCann</author>
  </authors>
  <commentList>
    <comment ref="A17" authorId="0">
      <text>
        <r>
          <rPr>
            <sz val="8"/>
            <rFont val="Tahoma"/>
            <family val="2"/>
          </rPr>
          <t>Refer notes on Industrial Refrigeration tab</t>
        </r>
      </text>
    </comment>
    <comment ref="B31" authorId="1">
      <text>
        <r>
          <rPr>
            <sz val="8"/>
            <rFont val="Tahoma"/>
            <family val="2"/>
          </rPr>
          <t xml:space="preserve">This is equivalent to 21.9% of all electricity sent out from Australian generators in 2005/06 of 194,781 GWh - NEMMCO 2006 Annual Report
</t>
        </r>
      </text>
    </comment>
    <comment ref="C31" authorId="1">
      <text>
        <r>
          <rPr>
            <sz val="8"/>
            <rFont val="Tahoma"/>
            <family val="2"/>
          </rPr>
          <t xml:space="preserve">Not including auto air at C15 due, stationary sources only. This is equal to 7% of all greenhouse gas emissions from all sources in Australia in the year to June 2006 based on Energy Strategies Prompt Indicators value of 571.9 Mt of CO2e for Australian emissions 2005/06
</t>
        </r>
      </text>
    </comment>
    <comment ref="C7" authorId="1">
      <text>
        <r>
          <rPr>
            <sz val="8"/>
            <rFont val="Tahoma"/>
            <family val="2"/>
          </rPr>
          <t xml:space="preserve">In 2006 a project undertaken by Energy Strategies to estimate emissions from HVAC systems in non-residential buildings arrived at a conservative lower estimate of 21.9Mt pa of CO2-e to an upper estimate of 25.5Mt pa CO2-e from HVAC systems using a top down approach. That estimate included the energy used in fans for airhandling and ventilation. The figure arrived at here is a calculation of the energy consumed in the refrigerative cooling equipment of HVAC systems, and does not include fan energy. However using the rule of thumb that energy used in fans for airhandling and ventilation is arouond 60% of cooling energy then the two estimates reconcile well. Multiply the value at C7 x 1.6 = 25.2 Mt pa of CO2-e
</t>
        </r>
      </text>
    </comment>
  </commentList>
</comments>
</file>

<file path=xl/comments4.xml><?xml version="1.0" encoding="utf-8"?>
<comments xmlns="http://schemas.openxmlformats.org/spreadsheetml/2006/main">
  <authors>
    <author> </author>
  </authors>
  <commentList>
    <comment ref="C6" authorId="0">
      <text>
        <r>
          <rPr>
            <sz val="8"/>
            <rFont val="Tahoma"/>
            <family val="2"/>
          </rPr>
          <t>Heating hours in 
Sydney = 200
Canberra = 500</t>
        </r>
      </text>
    </comment>
    <comment ref="A11" authorId="0">
      <text>
        <r>
          <rPr>
            <sz val="8"/>
            <rFont val="Tahoma"/>
            <family val="2"/>
          </rPr>
          <t xml:space="preserve">Calculation based on: 
Av.EER = 2.6
Av. COP = 2.9
Av. Size = 5.9kW Informark data, 2003 rather than 5.4kW av. obtained in report below.
In report Status of AC in Australia, EES, 2005 there was considerable analysis on EER/COP over the last 20 years. pp23 taken av. over last 10 yrs.
EER/COP are based on ideal laboratory conditions, in the field other factors will lower efficiency by up to 30% (Humidity/Region,  Incorrect charge, Poor unit evauation, Dirty filter, Poor system design, Poor installation).
The Existing Stock ignores cooling only models, certainly the proportion sold in 2006 was a single digit % and diminishing rapidly with most suppliers electing to offer heatpump models only. </t>
        </r>
      </text>
    </comment>
    <comment ref="A5" authorId="0">
      <text>
        <r>
          <rPr>
            <sz val="8"/>
            <rFont val="Tahoma"/>
            <family val="2"/>
          </rPr>
          <t xml:space="preserve">Hours of Air Conditioner Heating &amp; Cooling use for Australian Capital Cities are the same as those used on www.energyrating.gov.au calculator, originally sourced based on EES estimates &amp; ABS data &amp; should be treated with caution.
</t>
        </r>
      </text>
    </comment>
    <comment ref="A7" authorId="0">
      <text>
        <r>
          <rPr>
            <sz val="8"/>
            <rFont val="Tahoma"/>
            <family val="2"/>
          </rPr>
          <t xml:space="preserve">Based on average units sold into regions - Informark data 2003 &amp; 2006 </t>
        </r>
      </text>
    </comment>
    <comment ref="A23" authorId="0">
      <text>
        <r>
          <rPr>
            <sz val="8"/>
            <rFont val="Tahoma"/>
            <family val="2"/>
          </rPr>
          <t>Same regional % as WHS Systems</t>
        </r>
      </text>
    </comment>
    <comment ref="A35" authorId="0">
      <text>
        <r>
          <rPr>
            <sz val="8"/>
            <rFont val="Tahoma"/>
            <family val="2"/>
          </rPr>
          <t xml:space="preserve">Hours of Air Conditioner Heating &amp; Cooling use for Australian Capital Cities are the same as those used on www.energyrating.gov.au calculator, originally sourced based on EES estimates &amp; ABS data &amp; should be treated with caution.
</t>
        </r>
      </text>
    </comment>
    <comment ref="C36" authorId="0">
      <text>
        <r>
          <rPr>
            <sz val="8"/>
            <rFont val="Tahoma"/>
            <family val="2"/>
          </rPr>
          <t>Heating hours in 
Sydney = 200
Canberra = 500</t>
        </r>
      </text>
    </comment>
    <comment ref="A37" authorId="0">
      <text>
        <r>
          <rPr>
            <sz val="8"/>
            <rFont val="Tahoma"/>
            <family val="2"/>
          </rPr>
          <t xml:space="preserve">Based on average units sold into regions - Informark data 2003 &amp; 2006 </t>
        </r>
      </text>
    </comment>
    <comment ref="A47" authorId="0">
      <text>
        <r>
          <rPr>
            <sz val="8"/>
            <rFont val="Tahoma"/>
            <family val="2"/>
          </rPr>
          <t xml:space="preserve">Based on average units sold into regions - Informark data 2003 &amp; 2006 </t>
        </r>
      </text>
    </comment>
    <comment ref="A61" authorId="0">
      <text>
        <r>
          <rPr>
            <sz val="8"/>
            <rFont val="Tahoma"/>
            <family val="2"/>
          </rPr>
          <t xml:space="preserve">Based on average units sold into regions - Informark data 2005 &amp; 2006 </t>
        </r>
      </text>
    </comment>
    <comment ref="A67" authorId="0">
      <text>
        <r>
          <rPr>
            <sz val="8"/>
            <rFont val="Tahoma"/>
            <family val="2"/>
          </rPr>
          <t>% Split by Population, ABS 2004</t>
        </r>
      </text>
    </comment>
    <comment ref="A79" authorId="0">
      <text>
        <r>
          <rPr>
            <sz val="8"/>
            <rFont val="Tahoma"/>
            <family val="2"/>
          </rPr>
          <t>% Split by Population, ABS 2004</t>
        </r>
      </text>
    </comment>
    <comment ref="A118" authorId="0">
      <text>
        <r>
          <rPr>
            <sz val="8"/>
            <rFont val="Tahoma"/>
            <family val="2"/>
          </rPr>
          <t>Hospitals, Industrial Factories, Nursing Homes</t>
        </r>
      </text>
    </comment>
    <comment ref="A120" authorId="0">
      <text>
        <r>
          <rPr>
            <sz val="8"/>
            <rFont val="Tahoma"/>
            <family val="2"/>
          </rPr>
          <t>Regular businesses that operate 5 days per week, excluding public holidays.
System operates from 6.30am to 6.30pm, there is a trend towards 7am to 5pm</t>
        </r>
      </text>
    </comment>
    <comment ref="A60" authorId="0">
      <text>
        <r>
          <rPr>
            <sz val="8"/>
            <rFont val="Tahoma"/>
            <family val="2"/>
          </rPr>
          <t xml:space="preserve">Ratio of Cooling to Heating Hours are based on www.energyrating.gov.au calculator, originally sourced based on EES estimates &amp; ABS data &amp; should be treated with caution.  This only effects ratio of EER to COP.
</t>
        </r>
      </text>
    </comment>
    <comment ref="A22" authorId="0">
      <text>
        <r>
          <rPr>
            <sz val="8"/>
            <rFont val="Tahoma"/>
            <family val="2"/>
          </rPr>
          <t>Only considered Cooling Hrs, used same hrs by regional as WHS Systems.</t>
        </r>
      </text>
    </comment>
    <comment ref="A29" authorId="0">
      <text>
        <r>
          <rPr>
            <sz val="8"/>
            <rFont val="Tahoma"/>
            <family val="2"/>
          </rPr>
          <t>Cooling only units, used same hrs by regional as WHS Systems.</t>
        </r>
      </text>
    </comment>
    <comment ref="A30" authorId="0">
      <text>
        <r>
          <rPr>
            <sz val="8"/>
            <rFont val="Tahoma"/>
            <family val="2"/>
          </rPr>
          <t>Same regional % as WHS Systems</t>
        </r>
      </text>
    </comment>
    <comment ref="A66" authorId="0">
      <text>
        <r>
          <rPr>
            <sz val="8"/>
            <rFont val="Tahoma"/>
            <family val="2"/>
          </rPr>
          <t>MEPS Close Control A/C - 2004, pp4
Average efficiency (EER) = 2.6 when operating at design conditions
Units operate 24hrs/day, all year
Approx. 50% of units installed operate as back up units &amp; only operate if primary units fails or under extreme conditions</t>
        </r>
      </text>
    </comment>
    <comment ref="A115" authorId="0">
      <text>
        <r>
          <rPr>
            <sz val="8"/>
            <rFont val="Tahoma"/>
            <family val="2"/>
          </rPr>
          <t>Methodology Checked with Mechanical Services Engineer from Commercial AC Services Sector</t>
        </r>
      </text>
    </comment>
    <comment ref="A119" authorId="0">
      <text>
        <r>
          <rPr>
            <sz val="8"/>
            <rFont val="Tahoma"/>
            <family val="2"/>
          </rPr>
          <t>Shopping Centres
Typical operation:
4 days, 8am to 9pm &amp; 3 days, 8am to 6pm</t>
        </r>
      </text>
    </comment>
    <comment ref="B117" authorId="0">
      <text>
        <r>
          <rPr>
            <sz val="8"/>
            <rFont val="Tahoma"/>
            <family val="2"/>
          </rPr>
          <t>Best Guess only, recommend review of m2 of ea. segment for more accurate estimate</t>
        </r>
      </text>
    </comment>
    <comment ref="A126" authorId="0">
      <text>
        <r>
          <rPr>
            <sz val="8"/>
            <rFont val="Tahoma"/>
            <family val="2"/>
          </rPr>
          <t>20% of power = Fan only mode, need to check confirm with Engineering data</t>
        </r>
      </text>
    </comment>
    <comment ref="I110" authorId="0">
      <text>
        <r>
          <rPr>
            <sz val="8"/>
            <rFont val="Tahoma"/>
            <family val="2"/>
          </rPr>
          <t>Efficiency can decline over time;
- Wear &amp; tear
- Relative to new technology coming onto the market
- Depends on maintenance &amp; improvements</t>
        </r>
      </text>
    </comment>
    <comment ref="B113" authorId="0">
      <text>
        <r>
          <rPr>
            <sz val="8"/>
            <rFont val="Tahoma"/>
            <family val="2"/>
          </rPr>
          <t>Ratio needs to be confirmed by major A/C players (Daikin, Fujitsu, etc.)</t>
        </r>
      </text>
    </comment>
    <comment ref="E113" authorId="0">
      <text>
        <r>
          <rPr>
            <sz val="8"/>
            <rFont val="Tahoma"/>
            <family val="2"/>
          </rPr>
          <t>Ratio needs to be confirmed by major A/C players (Daikin, Fujitsu, etc.)</t>
        </r>
      </text>
    </comment>
    <comment ref="A17" authorId="0">
      <text>
        <r>
          <rPr>
            <sz val="8"/>
            <rFont val="Tahoma"/>
            <family val="2"/>
          </rPr>
          <t xml:space="preserve">Based on average units sold into regions - Informark data 2003 &amp; 2006 </t>
        </r>
      </text>
    </comment>
    <comment ref="F117" authorId="0">
      <text>
        <r>
          <rPr>
            <sz val="8"/>
            <rFont val="Tahoma"/>
            <family val="2"/>
          </rPr>
          <t>Best Guess only, recommend review of m2 of ea. segment for more accurate estimate</t>
        </r>
      </text>
    </comment>
    <comment ref="E118" authorId="0">
      <text>
        <r>
          <rPr>
            <sz val="8"/>
            <rFont val="Tahoma"/>
            <family val="2"/>
          </rPr>
          <t>Hospitals, Industrial Factories, Nursing Homes</t>
        </r>
      </text>
    </comment>
    <comment ref="E119" authorId="0">
      <text>
        <r>
          <rPr>
            <sz val="8"/>
            <rFont val="Tahoma"/>
            <family val="2"/>
          </rPr>
          <t>Shopping Centres
Typical operation:
4 days, 8am to 9pm &amp; 3 days, 8am to 6pm</t>
        </r>
      </text>
    </comment>
    <comment ref="E120" authorId="0">
      <text>
        <r>
          <rPr>
            <sz val="8"/>
            <rFont val="Tahoma"/>
            <family val="2"/>
          </rPr>
          <t>Regular businesses that operate 5 days per week, excluding public holidays.
System operates from 6.30am to 6.30pm, there is a trend towards 7am to 5pm</t>
        </r>
      </text>
    </comment>
    <comment ref="F122" authorId="0">
      <text>
        <r>
          <rPr>
            <sz val="8"/>
            <rFont val="Tahoma"/>
            <family val="2"/>
          </rPr>
          <t>Rough estimate only, require support with study</t>
        </r>
      </text>
    </comment>
    <comment ref="E126" authorId="0">
      <text>
        <r>
          <rPr>
            <sz val="8"/>
            <rFont val="Tahoma"/>
            <family val="2"/>
          </rPr>
          <t>20% of power = Fan only mode, need to check confirm with Engineering data</t>
        </r>
      </text>
    </comment>
    <comment ref="A27" authorId="0">
      <text>
        <r>
          <rPr>
            <sz val="8"/>
            <rFont val="Tahoma"/>
            <family val="2"/>
          </rPr>
          <t>Assumed Residential &amp; Commercial operating behavior to be similar with Window/Wall Units</t>
        </r>
      </text>
    </comment>
    <comment ref="A54" authorId="0">
      <text>
        <r>
          <rPr>
            <sz val="8"/>
            <rFont val="Tahoma"/>
            <family val="2"/>
          </rPr>
          <t xml:space="preserve">Based on average units sold into regions - Informark data 2003 &amp; 2006 </t>
        </r>
      </text>
    </comment>
    <comment ref="J110" authorId="0">
      <text>
        <r>
          <rPr>
            <sz val="8"/>
            <rFont val="Tahoma"/>
            <family val="2"/>
          </rPr>
          <t>Efficiency can decline over time;
- Wear &amp; tear
- Relative to new technology coming onto the market
- Depends on maintenance &amp; improvements</t>
        </r>
      </text>
    </comment>
    <comment ref="A73" authorId="0">
      <text>
        <r>
          <rPr>
            <sz val="8"/>
            <rFont val="Tahoma"/>
            <family val="2"/>
          </rPr>
          <t>% Split by Population, ABS 2004</t>
        </r>
      </text>
    </comment>
    <comment ref="A1" authorId="0">
      <text>
        <r>
          <rPr>
            <sz val="8"/>
            <rFont val="Tahoma"/>
            <family val="2"/>
          </rPr>
          <t>The Av. energy consumption for residential air conditioners were: - 
WHS Systems = 473kWh/pa
Split Systems = 901kWh/pa
These av. energy consumption values are consistent with the range quoted by EES from 547kWh/pa to 698kWh/pa for residential applications in NSW.  Refer '</t>
        </r>
        <r>
          <rPr>
            <i/>
            <sz val="8"/>
            <rFont val="Tahoma"/>
            <family val="2"/>
          </rPr>
          <t>Australian Residential Building Sector Greenhouse Gas Emissions 1999-2010</t>
        </r>
        <r>
          <rPr>
            <sz val="8"/>
            <rFont val="Tahoma"/>
            <family val="2"/>
          </rPr>
          <t xml:space="preserve">' (EES 1999).
</t>
        </r>
      </text>
    </comment>
    <comment ref="B122" authorId="0">
      <text>
        <r>
          <rPr>
            <sz val="8"/>
            <rFont val="Tahoma"/>
            <family val="2"/>
          </rPr>
          <t>The part load performance for each of the assumed hours of operation was based on the part load operational criteria as set out in ARI 550/590.</t>
        </r>
      </text>
    </comment>
  </commentList>
</comments>
</file>

<file path=xl/comments5.xml><?xml version="1.0" encoding="utf-8"?>
<comments xmlns="http://schemas.openxmlformats.org/spreadsheetml/2006/main">
  <authors>
    <author> </author>
  </authors>
  <commentList>
    <comment ref="N8" authorId="0">
      <text>
        <r>
          <rPr>
            <sz val="8"/>
            <rFont val="Tahoma"/>
            <family val="2"/>
          </rPr>
          <t>EES National Share of A/C Type Estimates Evaps @ 20% of 7.7M households (incl. portable evaps).
If we assume 50% of these are portable evaps, approx. existing stock = 770,000</t>
        </r>
      </text>
    </comment>
    <comment ref="A6" authorId="0">
      <text>
        <r>
          <rPr>
            <sz val="8"/>
            <rFont val="Tahoma"/>
            <family val="2"/>
          </rPr>
          <t>Old Technology, limited range that meets current MEPS standards, replaced by Wall Mounted Splits</t>
        </r>
      </text>
    </comment>
    <comment ref="A16" authorId="0">
      <text>
        <r>
          <rPr>
            <b/>
            <sz val="8"/>
            <rFont val="Tahoma"/>
            <family val="2"/>
          </rPr>
          <t>Application:</t>
        </r>
        <r>
          <rPr>
            <sz val="8"/>
            <rFont val="Tahoma"/>
            <family val="2"/>
          </rPr>
          <t xml:space="preserve"> Heat pumps offer an energy efficient way to heat/cool swimming pools as they use renewable heat sources, such as air and water. They transfer heat from low-grade temperature sources and use a minimal amount of electricity to upgrade temperature to provide swimming pool heating.
See http://www.enviro-friendly.com/quantum-solar-pool-heater.shtml
</t>
        </r>
        <r>
          <rPr>
            <b/>
            <sz val="8"/>
            <rFont val="Tahoma"/>
            <family val="2"/>
          </rPr>
          <t xml:space="preserve">Equipment suppliers include: </t>
        </r>
        <r>
          <rPr>
            <sz val="8"/>
            <rFont val="Tahoma"/>
            <family val="2"/>
          </rPr>
          <t xml:space="preserve">
Thermoswim
Pooltherm
Pacific Heat Pumps
</t>
        </r>
        <r>
          <rPr>
            <b/>
            <sz val="8"/>
            <rFont val="Tahoma"/>
            <family val="2"/>
          </rPr>
          <t>Local Manufacturers</t>
        </r>
        <r>
          <rPr>
            <sz val="8"/>
            <rFont val="Tahoma"/>
            <family val="2"/>
          </rPr>
          <t xml:space="preserve">
Accent Water &amp; Energy 
Quantum
APAC/Carrier
QIM Aspen
Toysei</t>
        </r>
      </text>
    </comment>
    <comment ref="A3" authorId="0">
      <text>
        <r>
          <rPr>
            <b/>
            <sz val="8"/>
            <rFont val="Tahoma"/>
            <family val="2"/>
          </rPr>
          <t>Applications:</t>
        </r>
        <r>
          <rPr>
            <sz val="8"/>
            <rFont val="Tahoma"/>
            <family val="2"/>
          </rPr>
          <t xml:space="preserve"> Domestic &amp; Commercial
</t>
        </r>
        <r>
          <rPr>
            <b/>
            <sz val="8"/>
            <rFont val="Tahoma"/>
            <family val="2"/>
          </rPr>
          <t>Trends:</t>
        </r>
        <r>
          <rPr>
            <sz val="8"/>
            <rFont val="Tahoma"/>
            <family val="2"/>
          </rPr>
          <t xml:space="preserve"> Inverter technology &amp; R410A
</t>
        </r>
        <r>
          <rPr>
            <b/>
            <sz val="8"/>
            <rFont val="Tahoma"/>
            <family val="2"/>
          </rPr>
          <t>Key Equipment Suppliers:</t>
        </r>
        <r>
          <rPr>
            <sz val="8"/>
            <rFont val="Tahoma"/>
            <family val="2"/>
          </rPr>
          <t xml:space="preserve">
Daikin - </t>
        </r>
        <r>
          <rPr>
            <b/>
            <sz val="8"/>
            <rFont val="Tahoma"/>
            <family val="2"/>
          </rPr>
          <t>Market Leader</t>
        </r>
        <r>
          <rPr>
            <sz val="8"/>
            <rFont val="Tahoma"/>
            <family val="2"/>
          </rPr>
          <t xml:space="preserve">
Mitsubishi Electric
Fujitsu General
ECP/Airwell
Hitachi Australia
LG Electronics
Panasonic
Mitsubishi Heavy Industries
Trane
Lennox
Samsung
Sanyo
Dunnair
Ascon
Bonaire
Derby
Cooline
Chinese mfrs inc. Gree/Midea/Haier/Chigo/Chunlan
</t>
        </r>
        <r>
          <rPr>
            <b/>
            <sz val="8"/>
            <rFont val="Tahoma"/>
            <family val="2"/>
          </rPr>
          <t>Locally Manufactured</t>
        </r>
        <r>
          <rPr>
            <sz val="8"/>
            <rFont val="Tahoma"/>
            <family val="2"/>
          </rPr>
          <t xml:space="preserve">
Actron Air
Temperzone
Carrier/APAC
Uniaire
Ascent Air
Pioneer
</t>
        </r>
        <r>
          <rPr>
            <b/>
            <sz val="8"/>
            <rFont val="Tahoma"/>
            <family val="2"/>
          </rPr>
          <t>For more comprehensive listing log onto:</t>
        </r>
        <r>
          <rPr>
            <sz val="8"/>
            <rFont val="Tahoma"/>
            <family val="2"/>
          </rPr>
          <t xml:space="preserve">
http://www.energyrating.gov.au/appsearch/air_srch.asp
</t>
        </r>
      </text>
    </comment>
    <comment ref="N13" authorId="0">
      <text>
        <r>
          <rPr>
            <sz val="8"/>
            <rFont val="Tahoma"/>
            <family val="2"/>
          </rPr>
          <t>Confirmed by Market Leader</t>
        </r>
      </text>
    </comment>
    <comment ref="A1" authorId="0">
      <text>
        <r>
          <rPr>
            <sz val="8"/>
            <rFont val="Tahoma"/>
            <family val="2"/>
          </rPr>
          <t xml:space="preserve">The statistical Data was collected via industry sources &amp; used in conjunction with import data from DEH &amp; Import statistics from ABS.
Industry gain acurate information as follows:
- Market leaders with a significant share &amp; years of experience have a good understanding of market sizes/details by product category
- Unit volumes &amp; typical sizes are estimated at industry gatherings such as MEPS committes
- Several product categories are recorded by Informark, this information is only available to members that subscribe, 
  participants can estimate total market data by estimating participation rate
 </t>
        </r>
      </text>
    </comment>
    <comment ref="B1" authorId="0">
      <text>
        <r>
          <rPr>
            <sz val="8"/>
            <rFont val="Tahoma"/>
            <family val="2"/>
          </rPr>
          <t>kW relates to nominal cooling capacity (ARI 26.1</t>
        </r>
        <r>
          <rPr>
            <vertAlign val="superscript"/>
            <sz val="8"/>
            <rFont val="Tahoma"/>
            <family val="2"/>
          </rPr>
          <t>o</t>
        </r>
        <r>
          <rPr>
            <sz val="8"/>
            <rFont val="Tahoma"/>
            <family val="2"/>
          </rPr>
          <t>C db/19.4</t>
        </r>
        <r>
          <rPr>
            <vertAlign val="superscript"/>
            <sz val="8"/>
            <rFont val="Tahoma"/>
            <family val="2"/>
          </rPr>
          <t>o</t>
        </r>
        <r>
          <rPr>
            <sz val="8"/>
            <rFont val="Tahoma"/>
            <family val="2"/>
          </rPr>
          <t>C wb air on &amp; 35</t>
        </r>
        <r>
          <rPr>
            <vertAlign val="superscript"/>
            <sz val="8"/>
            <rFont val="Tahoma"/>
            <family val="2"/>
          </rPr>
          <t>o</t>
        </r>
        <r>
          <rPr>
            <sz val="8"/>
            <rFont val="Tahoma"/>
            <family val="2"/>
          </rPr>
          <t>C ambient)</t>
        </r>
      </text>
    </comment>
    <comment ref="E1" authorId="0">
      <text>
        <r>
          <rPr>
            <sz val="8"/>
            <rFont val="Tahoma"/>
            <family val="2"/>
          </rPr>
          <t xml:space="preserve">Av. value is at wholesale (equipment only, not installed, excl. GST) add 20 to 30% GM for retail. </t>
        </r>
      </text>
    </comment>
    <comment ref="A4" authorId="0">
      <text>
        <r>
          <rPr>
            <b/>
            <sz val="8"/>
            <rFont val="Tahoma"/>
            <family val="2"/>
          </rPr>
          <t>Applications:</t>
        </r>
        <r>
          <rPr>
            <sz val="8"/>
            <rFont val="Tahoma"/>
            <family val="2"/>
          </rPr>
          <t xml:space="preserve"> Commercial
VRV Systems - relatively new technology used in commercial applications, key equipment suppliers in Australia are Daikin, Mitsubishi Electric &amp; other top tier suppliers with Japanese origins</t>
        </r>
      </text>
    </comment>
    <comment ref="C3" authorId="0">
      <text>
        <r>
          <rPr>
            <sz val="8"/>
            <rFont val="Tahoma"/>
            <family val="2"/>
          </rPr>
          <t>Annual Sales data cross checked with 63,000 A/C compressors sold p.a. in Aust in 2006 by market leader
Split System Applications = 148,217 p.a. x 0.3 locally manf. x 1 per unit x 0.95 market share= 42,242
RT Packages Applications = 5,194 p.a. x 0.6 locally manf. x 3 per unit x 0.7 market share = 6,544
Spares = 0.12 x 63,000 = 7,560
Swimming Pool HP = 900 x 0.95 = 855
Other Manufactured Applications = 5,799 = less than 10%
Confirms annual data for Split Systems &amp; RT Packages is correct order of magnitude &amp; study has not overlooked more than 10% of miscellaneous applications using A/C compressors</t>
        </r>
      </text>
    </comment>
    <comment ref="C5" authorId="0">
      <text>
        <r>
          <rPr>
            <b/>
            <sz val="8"/>
            <rFont val="Tahoma"/>
            <family val="2"/>
          </rPr>
          <t xml:space="preserve">DEH Import Data: </t>
        </r>
        <r>
          <rPr>
            <sz val="8"/>
            <rFont val="Tahoma"/>
            <family val="2"/>
          </rPr>
          <t xml:space="preserve">
Split Systems (incl. split, VRV &amp; wall mounted split).
2005 = 730,858 
2006 = 816,373
</t>
        </r>
        <r>
          <rPr>
            <b/>
            <sz val="8"/>
            <rFont val="Tahoma"/>
            <family val="2"/>
          </rPr>
          <t>ABS Import Data:</t>
        </r>
        <r>
          <rPr>
            <sz val="8"/>
            <rFont val="Tahoma"/>
            <family val="2"/>
          </rPr>
          <t xml:space="preserve">
Split Systems (incl. split, VRV, wall mounted split </t>
        </r>
        <r>
          <rPr>
            <b/>
            <sz val="8"/>
            <rFont val="Tahoma"/>
            <family val="2"/>
          </rPr>
          <t>&amp; window</t>
        </r>
        <r>
          <rPr>
            <sz val="8"/>
            <rFont val="Tahoma"/>
            <family val="2"/>
          </rPr>
          <t xml:space="preserve">).
2005 = 1,013,727 
2006 = 1,061,758
</t>
        </r>
        <r>
          <rPr>
            <b/>
            <sz val="8"/>
            <rFont val="Tahoma"/>
            <family val="2"/>
          </rPr>
          <t>2006 Industry Data (imported est.):</t>
        </r>
        <r>
          <rPr>
            <sz val="8"/>
            <rFont val="Tahoma"/>
            <family val="2"/>
          </rPr>
          <t xml:space="preserve">
Split Systems = 103,752
VRV = 3,000
Wall Hung Split Systems =  874,000 p.a.
Total = 980,752 p.a.
(WHS Systems Sold 655,500 reported Informark 2006)
This difference of 207,137 p.a. between imports &amp; sales is due to the depletion of inventory; industry run out of stock @ end of 2006
</t>
        </r>
      </text>
    </comment>
    <comment ref="A5" authorId="0">
      <text>
        <r>
          <rPr>
            <b/>
            <sz val="8"/>
            <rFont val="Tahoma"/>
            <family val="2"/>
          </rPr>
          <t>Applications:</t>
        </r>
        <r>
          <rPr>
            <sz val="8"/>
            <rFont val="Tahoma"/>
            <family val="2"/>
          </rPr>
          <t xml:space="preserve"> Domestic &amp; light Commercial (ie hospitality, small retail shops, medical practices)
</t>
        </r>
        <r>
          <rPr>
            <b/>
            <sz val="8"/>
            <rFont val="Tahoma"/>
            <family val="2"/>
          </rPr>
          <t>Trends:</t>
        </r>
        <r>
          <rPr>
            <sz val="8"/>
            <rFont val="Tahoma"/>
            <family val="2"/>
          </rPr>
          <t xml:space="preserve"> Inverter technology &amp; R410A
</t>
        </r>
        <r>
          <rPr>
            <b/>
            <sz val="8"/>
            <rFont val="Tahoma"/>
            <family val="2"/>
          </rPr>
          <t>Top Tier Suppliers (Japanese Origins)</t>
        </r>
        <r>
          <rPr>
            <sz val="8"/>
            <rFont val="Tahoma"/>
            <family val="2"/>
          </rPr>
          <t xml:space="preserve">
Daikin - </t>
        </r>
        <r>
          <rPr>
            <b/>
            <sz val="8"/>
            <rFont val="Tahoma"/>
            <family val="2"/>
          </rPr>
          <t>Market Leader</t>
        </r>
        <r>
          <rPr>
            <sz val="8"/>
            <rFont val="Tahoma"/>
            <family val="2"/>
          </rPr>
          <t xml:space="preserve">
Mitsubishi Electric
Fujitsu General
Toshiba (Carrier)
Mitsubishi Heavy Industries
Hitachi Australia
Panasonic
</t>
        </r>
        <r>
          <rPr>
            <b/>
            <sz val="8"/>
            <rFont val="Tahoma"/>
            <family val="2"/>
          </rPr>
          <t>Second Tier Suppliers</t>
        </r>
        <r>
          <rPr>
            <sz val="8"/>
            <rFont val="Tahoma"/>
            <family val="2"/>
          </rPr>
          <t xml:space="preserve">
LG Electronics
Sanyo
ECP, Email Air
</t>
        </r>
        <r>
          <rPr>
            <b/>
            <sz val="8"/>
            <rFont val="Tahoma"/>
            <family val="2"/>
          </rPr>
          <t>Over 100 other suppliers (most source from other suppliers, predominantly in China)</t>
        </r>
        <r>
          <rPr>
            <sz val="8"/>
            <rFont val="Tahoma"/>
            <family val="2"/>
          </rPr>
          <t xml:space="preserve">
Electrolux
Trane
Lennox
Samsung
Dunnair
Ascon
Bonaire
Derby
Cooline
Chinese mfrs inc. Gree/Midea/Haier/Chigo/Chunlan
For more comprehensive listing log onto:
http://www.energyrating.gov.au/appsearch/air_srch.asp</t>
        </r>
      </text>
    </comment>
    <comment ref="C6" authorId="0">
      <text>
        <r>
          <rPr>
            <sz val="8"/>
            <rFont val="Tahoma"/>
            <family val="2"/>
          </rPr>
          <t xml:space="preserve">DEH Import Data
2006 = 166,807
2005 = 147,987
</t>
        </r>
      </text>
    </comment>
    <comment ref="A7" authorId="0">
      <text>
        <r>
          <rPr>
            <b/>
            <sz val="8"/>
            <rFont val="Tahoma"/>
            <family val="2"/>
          </rPr>
          <t>Applications:</t>
        </r>
        <r>
          <rPr>
            <sz val="8"/>
            <rFont val="Tahoma"/>
            <family val="2"/>
          </rPr>
          <t xml:space="preserve"> Mostly Commercial &amp; some large Residential
</t>
        </r>
        <r>
          <rPr>
            <b/>
            <sz val="8"/>
            <rFont val="Tahoma"/>
            <family val="2"/>
          </rPr>
          <t>Trends:</t>
        </r>
        <r>
          <rPr>
            <sz val="8"/>
            <rFont val="Tahoma"/>
            <family val="2"/>
          </rPr>
          <t xml:space="preserve"> R407C &amp; VRV Systems
</t>
        </r>
        <r>
          <rPr>
            <b/>
            <sz val="8"/>
            <rFont val="Tahoma"/>
            <family val="2"/>
          </rPr>
          <t xml:space="preserve">
Locally manufactured</t>
        </r>
        <r>
          <rPr>
            <sz val="8"/>
            <rFont val="Tahoma"/>
            <family val="2"/>
          </rPr>
          <t xml:space="preserve">
Temperzone
Carrier/APAC
Actron Air
Accent Air
Uniaire
</t>
        </r>
        <r>
          <rPr>
            <b/>
            <sz val="8"/>
            <rFont val="Tahoma"/>
            <family val="2"/>
          </rPr>
          <t>Imported</t>
        </r>
        <r>
          <rPr>
            <sz val="8"/>
            <rFont val="Tahoma"/>
            <family val="2"/>
          </rPr>
          <t xml:space="preserve">
Daikin
Trane
Mc Quay
Mitsubishi Electric
Mitsubishi Heavy Industries
ECP
Lennox
York
Dunnair
Arena
Hitachi Australia
LG Electronics
</t>
        </r>
      </text>
    </comment>
    <comment ref="C12" authorId="0">
      <text>
        <r>
          <rPr>
            <sz val="8"/>
            <rFont val="Tahoma"/>
            <family val="2"/>
          </rPr>
          <t xml:space="preserve">ABS Import Data
2005 = 25,188 
2006 = 70,778
Estimate Existing Stock 
7 x 30,000 = 210,000 </t>
        </r>
      </text>
    </comment>
    <comment ref="N3" authorId="0">
      <text>
        <r>
          <rPr>
            <sz val="8"/>
            <rFont val="Tahoma"/>
            <family val="2"/>
          </rPr>
          <t xml:space="preserve">Sread of product by state is as follows based on current data obtained from Industry:
NSW&amp;ACT = 36%
Qld = 23%
Vic = 13%
WA = 13%
SA = 12%
Tas = 2%
NT = 1%
</t>
        </r>
      </text>
    </comment>
    <comment ref="N5" authorId="0">
      <text>
        <r>
          <rPr>
            <sz val="8"/>
            <rFont val="Tahoma"/>
            <family val="2"/>
          </rPr>
          <t xml:space="preserve">Sread of product by state is as follows based on current data obtained from Industry:
Qld = 32%
NSW&amp;ACT = 27%
Vic = 20%
WA = 10.5%
SA = 6.5%
Tas = 2%
NT = 2%
</t>
        </r>
      </text>
    </comment>
    <comment ref="N7" authorId="0">
      <text>
        <r>
          <rPr>
            <sz val="8"/>
            <rFont val="Tahoma"/>
            <family val="2"/>
          </rPr>
          <t xml:space="preserve">Sread of product by state is as follows based on current data obtained from Industry:
Vic = 32%
Qld = 23%
NSW&amp;ACT = 22%
WA = 12%
SA = 8%
NT = 2%
Tas = 1%
</t>
        </r>
      </text>
    </comment>
    <comment ref="A8" authorId="0">
      <text>
        <r>
          <rPr>
            <b/>
            <sz val="8"/>
            <rFont val="Tahoma"/>
            <family val="2"/>
          </rPr>
          <t>Applications:</t>
        </r>
        <r>
          <rPr>
            <sz val="8"/>
            <rFont val="Tahoma"/>
            <family val="2"/>
          </rPr>
          <t xml:space="preserve"> Mostly Domestic, suited to regions with low Humidity, inexpensive to run, cheap to install for whole-house
</t>
        </r>
        <r>
          <rPr>
            <b/>
            <sz val="8"/>
            <rFont val="Tahoma"/>
            <family val="2"/>
          </rPr>
          <t xml:space="preserve">Trends: </t>
        </r>
        <r>
          <rPr>
            <sz val="8"/>
            <rFont val="Tahoma"/>
            <family val="2"/>
          </rPr>
          <t xml:space="preserve">Shift towards wall mounted splits, inexpesive alternative 
</t>
        </r>
        <r>
          <rPr>
            <b/>
            <sz val="8"/>
            <rFont val="Tahoma"/>
            <family val="2"/>
          </rPr>
          <t xml:space="preserve">
Key Equipment Suppliers</t>
        </r>
        <r>
          <rPr>
            <sz val="8"/>
            <rFont val="Tahoma"/>
            <family val="2"/>
          </rPr>
          <t xml:space="preserve">
Brivis
Bonaire
Breezair
Breamar
Celair
Stadt (in liquidation)</t>
        </r>
      </text>
    </comment>
    <comment ref="A9" authorId="0">
      <text>
        <r>
          <rPr>
            <b/>
            <sz val="8"/>
            <rFont val="Tahoma"/>
            <family val="2"/>
          </rPr>
          <t>Applications:</t>
        </r>
        <r>
          <rPr>
            <sz val="8"/>
            <rFont val="Tahoma"/>
            <family val="2"/>
          </rPr>
          <t xml:space="preserve"> Mostly Domestic, requires natural gas, more expensive to operate on LPG, suited to Southern Region &amp; Canberra (where greater demand for heating versus cooling)
</t>
        </r>
        <r>
          <rPr>
            <b/>
            <sz val="8"/>
            <rFont val="Tahoma"/>
            <family val="2"/>
          </rPr>
          <t>Trends:</t>
        </r>
        <r>
          <rPr>
            <sz val="8"/>
            <rFont val="Tahoma"/>
            <family val="2"/>
          </rPr>
          <t xml:space="preserve"> 5 Star condensing heaters
</t>
        </r>
        <r>
          <rPr>
            <b/>
            <sz val="8"/>
            <rFont val="Tahoma"/>
            <family val="2"/>
          </rPr>
          <t xml:space="preserve">
Key Equipment Suppliers</t>
        </r>
        <r>
          <rPr>
            <sz val="8"/>
            <rFont val="Tahoma"/>
            <family val="2"/>
          </rPr>
          <t xml:space="preserve">
Brivis
Breamar
Vulcan
Lennox
Omega
Stadt (in liquidation)</t>
        </r>
      </text>
    </comment>
    <comment ref="A13" authorId="0">
      <text>
        <r>
          <rPr>
            <b/>
            <sz val="8"/>
            <rFont val="Tahoma"/>
            <family val="2"/>
          </rPr>
          <t>Applications:</t>
        </r>
        <r>
          <rPr>
            <sz val="8"/>
            <rFont val="Tahoma"/>
            <family val="2"/>
          </rPr>
          <t xml:space="preserve"> These applications are design-critical (temperature/humidity) and downtime-critical air conditioning applications including systems for super computers, IT rooms, data cabinets, containers/shelters, pharmaceutical, medical and sensitive manufacturing applications.
</t>
        </r>
        <r>
          <rPr>
            <b/>
            <sz val="8"/>
            <rFont val="Tahoma"/>
            <family val="2"/>
          </rPr>
          <t xml:space="preserve">
Key Equipment Suppliers</t>
        </r>
        <r>
          <rPr>
            <sz val="8"/>
            <rFont val="Tahoma"/>
            <family val="2"/>
          </rPr>
          <t xml:space="preserve">
Liebert - </t>
        </r>
        <r>
          <rPr>
            <b/>
            <sz val="8"/>
            <rFont val="Tahoma"/>
            <family val="2"/>
          </rPr>
          <t>Market Leader</t>
        </r>
        <r>
          <rPr>
            <sz val="8"/>
            <rFont val="Tahoma"/>
            <family val="2"/>
          </rPr>
          <t xml:space="preserve">
Stulz
Uniflair
Air Design (RC Group)
American Power Corp</t>
        </r>
      </text>
    </comment>
    <comment ref="A12" authorId="0">
      <text>
        <r>
          <rPr>
            <b/>
            <sz val="8"/>
            <rFont val="Tahoma"/>
            <family val="2"/>
          </rPr>
          <t>Applications:</t>
        </r>
        <r>
          <rPr>
            <sz val="8"/>
            <rFont val="Tahoma"/>
            <family val="2"/>
          </rPr>
          <t xml:space="preserve"> Portable/temporary form of air conditioning, main types include:
Inexpensive portable for small spaces such as bed-rooms, small living areas (up to 4 kW)
Industrial units designed for spot cooling in industrial plants, server rooms, hospitals and offices especially where electrical equipment creates a heat load
Currently no MEPS requirements
</t>
        </r>
        <r>
          <rPr>
            <b/>
            <sz val="8"/>
            <rFont val="Tahoma"/>
            <family val="2"/>
          </rPr>
          <t xml:space="preserve">
Key Equipment Suppliers/Brands:
</t>
        </r>
        <r>
          <rPr>
            <sz val="8"/>
            <rFont val="Tahoma"/>
            <family val="2"/>
          </rPr>
          <t>Mistral
De Longhi
Dimplex
Electrolux
Kelvinator
Arlec
Sanyo/Cara
Denso/Australian Air Filters</t>
        </r>
      </text>
    </comment>
    <comment ref="N4" authorId="0">
      <text>
        <r>
          <rPr>
            <sz val="8"/>
            <rFont val="Tahoma"/>
            <family val="2"/>
          </rPr>
          <t>VRV has only been available in Australia in recent years, estimated existing stock over 7 years</t>
        </r>
      </text>
    </comment>
    <comment ref="N6" authorId="0">
      <text>
        <r>
          <rPr>
            <sz val="8"/>
            <rFont val="Tahoma"/>
            <family val="2"/>
          </rPr>
          <t>Regional split for window units is similar to Wall Hung Split Systems
Existing installed stock is likely to be greater, however operation time is very low</t>
        </r>
      </text>
    </comment>
    <comment ref="M1" authorId="0">
      <text>
        <r>
          <rPr>
            <sz val="8"/>
            <rFont val="Tahoma"/>
            <family val="2"/>
          </rPr>
          <t>Status of AC in Australia, EES, 2005
pp12 Studies undertaken by Test Research in 1995 indicate the av. age of AC's to be 8 years, with the av, retirement age of 12 to 18 years (depending on installation, type), which was broadly consistent with BIS Shrapnel Data collected in 2004.
The estimated life were based on discussions with Industy Product Managers, however broadly fall into categories indicated in studies.</t>
        </r>
      </text>
    </comment>
    <comment ref="N16" authorId="0">
      <text>
        <r>
          <rPr>
            <sz val="8"/>
            <rFont val="Tahoma"/>
            <family val="2"/>
          </rPr>
          <t>On hold until Swimming Pool report/survey complete</t>
        </r>
      </text>
    </comment>
    <comment ref="A10" authorId="0">
      <text>
        <r>
          <rPr>
            <b/>
            <sz val="8"/>
            <rFont val="Tahoma"/>
            <family val="2"/>
          </rPr>
          <t>Applications:</t>
        </r>
        <r>
          <rPr>
            <sz val="8"/>
            <rFont val="Tahoma"/>
            <family val="2"/>
          </rPr>
          <t xml:space="preserve"> The main application is commercial HVAC, however chillers are used in a diverse range of applications including Brewing/Winemaking, Dairy Industry, Food Processing &amp; a variety of industrial applications.
</t>
        </r>
        <r>
          <rPr>
            <b/>
            <sz val="8"/>
            <rFont val="Tahoma"/>
            <family val="2"/>
          </rPr>
          <t>Key Suppliers:</t>
        </r>
        <r>
          <rPr>
            <sz val="8"/>
            <rFont val="Tahoma"/>
            <family val="2"/>
          </rPr>
          <t xml:space="preserve">
Commercial AC - Carrier, Mc Quay, Trane
York, Airwell, Cooline, Daikin, MTA, Champion Compressors
Hitachi, Sharp &amp; Pendry
</t>
        </r>
        <r>
          <rPr>
            <b/>
            <sz val="8"/>
            <rFont val="Tahoma"/>
            <family val="2"/>
          </rPr>
          <t>Local Manufacturers:</t>
        </r>
        <r>
          <rPr>
            <sz val="8"/>
            <rFont val="Tahoma"/>
            <family val="2"/>
          </rPr>
          <t xml:space="preserve">
Fluid Chillers Australia, PowerPax, Aquacoolers, Matsu</t>
        </r>
      </text>
    </comment>
    <comment ref="L10" authorId="0">
      <text>
        <r>
          <rPr>
            <sz val="8"/>
            <rFont val="Tahoma"/>
            <family val="2"/>
          </rPr>
          <t>DEH Import Data
2005 = 1,291 
2006 = 499
Av. = 895 
Total all Chiller Types Sold 2005/6 p.a. = 1,495</t>
        </r>
      </text>
    </comment>
    <comment ref="C8" authorId="0">
      <text>
        <r>
          <rPr>
            <sz val="8"/>
            <rFont val="Tahoma"/>
            <family val="2"/>
          </rPr>
          <t>Require raw data to confirm annual sales &amp; existing stock.</t>
        </r>
      </text>
    </comment>
    <comment ref="F3" authorId="0">
      <text>
        <r>
          <rPr>
            <b/>
            <sz val="8"/>
            <rFont val="Tahoma"/>
            <family val="2"/>
          </rPr>
          <t>Residential</t>
        </r>
        <r>
          <rPr>
            <sz val="8"/>
            <rFont val="Tahoma"/>
            <family val="2"/>
          </rPr>
          <t xml:space="preserve">
Sales, Design &amp; Admin = 8 hrs 
Ductwork = 2 x 6 hrs = 12 hrs
Refrigeration = 1 x 5 hrs
Electrical = 1 x (4 to 8) hrs 
(Depending on controls/zones) 
Commission, Handover &amp; Call Back = 1 x 4 hrs
Total = 35 hrs
Estimate of Range of Av. installation for residential &amp; light commercial applications is between 30 &amp; 60 hrs.</t>
        </r>
      </text>
    </comment>
    <comment ref="F5" authorId="0">
      <text>
        <r>
          <rPr>
            <b/>
            <sz val="8"/>
            <rFont val="Tahoma"/>
            <family val="2"/>
          </rPr>
          <t>Residential</t>
        </r>
        <r>
          <rPr>
            <sz val="8"/>
            <rFont val="Tahoma"/>
            <family val="2"/>
          </rPr>
          <t xml:space="preserve">
Sales, Design &amp; Admin = 3 hrs 
Refrigeration = 1 x 5 hrs
Electrical = 1 x 3 hrs 
Commission, Handover &amp; Call Back = 1 hrs
Total = 12 hrs
Estimate of Range of Av. installation for residential &amp; light commercial applications is between 10 &amp; 20 hrs.</t>
        </r>
      </text>
    </comment>
    <comment ref="F6" authorId="0">
      <text>
        <r>
          <rPr>
            <b/>
            <sz val="8"/>
            <rFont val="Tahoma"/>
            <family val="2"/>
          </rPr>
          <t>Residential (Window)</t>
        </r>
        <r>
          <rPr>
            <sz val="8"/>
            <rFont val="Tahoma"/>
            <family val="2"/>
          </rPr>
          <t xml:space="preserve">
Sales, Design &amp; Admin = 2 hrs 
Installation = 1 x 4 hrs
Total =  6 hrs
Estimate of Range of Av. installation for residential &amp; light commercial applications is between 6 &amp; 10 hrs.</t>
        </r>
      </text>
    </comment>
    <comment ref="F8" authorId="0">
      <text>
        <r>
          <rPr>
            <b/>
            <sz val="8"/>
            <rFont val="Tahoma"/>
            <family val="2"/>
          </rPr>
          <t>Residential</t>
        </r>
        <r>
          <rPr>
            <sz val="8"/>
            <rFont val="Tahoma"/>
            <family val="2"/>
          </rPr>
          <t xml:space="preserve">
Sales, Design &amp; Admin = 4 hrs 
Ductwork &amp; Installation = 2 x 5 hrs = 12 hrs
Electrical = 1 x 1.5 hrs 
Commission, Handover &amp; Call Back = 0.5 hrs
Total = 18 hrs
</t>
        </r>
      </text>
    </comment>
    <comment ref="J12" authorId="0">
      <text>
        <r>
          <rPr>
            <sz val="8"/>
            <rFont val="Tahoma"/>
            <family val="2"/>
          </rPr>
          <t xml:space="preserve">ABS Import Data
2005 = 25,188 
2006 = 70,778
Estimate Existing Stock 
7 x 30,000 = 210,000 </t>
        </r>
      </text>
    </comment>
    <comment ref="J8" authorId="0">
      <text>
        <r>
          <rPr>
            <sz val="8"/>
            <rFont val="Tahoma"/>
            <family val="2"/>
          </rPr>
          <t>Require raw data to confirm annual sales &amp; existing stock.</t>
        </r>
      </text>
    </comment>
    <comment ref="F9" authorId="0">
      <text>
        <r>
          <rPr>
            <b/>
            <sz val="8"/>
            <rFont val="Tahoma"/>
            <family val="2"/>
          </rPr>
          <t>Residential</t>
        </r>
        <r>
          <rPr>
            <sz val="8"/>
            <rFont val="Tahoma"/>
            <family val="2"/>
          </rPr>
          <t xml:space="preserve">
Sales, Design &amp; Admin = 6 hrs 
Ductwork = 2 x 5 hrs = 10 hrs
Plumber = 1 x 5 hrs
Electrical = 1 x 3 hrs 
Commission, Handover &amp; Call Back = 1 x 2 hrs
Total = 24 hrs
</t>
        </r>
      </text>
    </comment>
    <comment ref="I1" authorId="0">
      <text>
        <r>
          <rPr>
            <sz val="8"/>
            <rFont val="Tahoma"/>
            <family val="2"/>
          </rPr>
          <t>Participation rate is % of market incumbents participating in collection of raw data.</t>
        </r>
      </text>
    </comment>
    <comment ref="C1" authorId="0">
      <text>
        <r>
          <rPr>
            <sz val="8"/>
            <rFont val="Tahoma"/>
            <family val="2"/>
          </rPr>
          <t xml:space="preserve">Raw data, need to take participation rate into account to estimate Quantity sold p.a.
</t>
        </r>
      </text>
    </comment>
    <comment ref="H5" authorId="0">
      <text>
        <r>
          <rPr>
            <b/>
            <sz val="8"/>
            <rFont val="Tahoma"/>
            <family val="2"/>
          </rPr>
          <t>Retail Prices for 6.0 kW WHS System (incl. GST)</t>
        </r>
        <r>
          <rPr>
            <sz val="8"/>
            <rFont val="Tahoma"/>
            <family val="2"/>
          </rPr>
          <t xml:space="preserve"> 
Unit @ wholesale = $650 to $1585, Av = $1,150   
Mark Up = $300 to $600
Installation = $650 to $1200
(Industry benchmark for Certified Back to Back is $750)
Total = $1,150 + $450 + $800 = $2,350/1.1 = $2,140 (excl. GST)</t>
        </r>
      </text>
    </comment>
    <comment ref="H3" authorId="0">
      <text>
        <r>
          <rPr>
            <b/>
            <sz val="8"/>
            <rFont val="Tahoma"/>
            <family val="2"/>
          </rPr>
          <t>Residential Price for 15.0 kW Split System</t>
        </r>
        <r>
          <rPr>
            <sz val="8"/>
            <rFont val="Tahoma"/>
            <family val="2"/>
          </rPr>
          <t xml:space="preserve">
Av. Unit @ wholesale =  $3,190 plus GST   
Duct, Fittings, Controls @ wholesale = $1,350 plus GST
Labour, Duct = $600, Electrical = $550, Refrig. = $800, Compliance Cert. = $25 
Labour = $1,975 plus GST
Material Cost = $4,540 plus GST 
Total Price (incl. 20% to 30% Gross Margin) = $8,145 to $9,310 plus GST
Estimate of Range of Av. installation for residential &amp; light commercial applications vary significantly from $8,000 upward depending on complexity of installation. Have  nominated av. as $9,600 incl. GST, however would useful exercise to obtain quotations as prices vary significantly from State to State.</t>
        </r>
      </text>
    </comment>
    <comment ref="H12" authorId="0">
      <text>
        <r>
          <rPr>
            <sz val="8"/>
            <rFont val="Tahoma"/>
            <family val="2"/>
          </rPr>
          <t>Retail prices range from $650 to $1,400 incl. GST
Av. price excl. GST = $775
Consumer pick-up or delivered, no installation required.</t>
        </r>
      </text>
    </comment>
    <comment ref="H6" authorId="0">
      <text>
        <r>
          <rPr>
            <b/>
            <sz val="8"/>
            <rFont val="Tahoma"/>
            <family val="2"/>
          </rPr>
          <t xml:space="preserve">Retail Prices for 3.5 kW (Window Unit)
</t>
        </r>
        <r>
          <rPr>
            <sz val="8"/>
            <rFont val="Tahoma"/>
            <family val="2"/>
          </rPr>
          <t>Unit @ wholesale = $450 plus GST   
Mark Up = $400 incl. GST
Installation = $500 to $1000 incl. GST
Total = $450 + $360 + $600 = $1,410 (excl. GST)</t>
        </r>
      </text>
    </comment>
    <comment ref="G14" authorId="0">
      <text>
        <r>
          <rPr>
            <sz val="8"/>
            <rFont val="Tahoma"/>
            <family val="2"/>
          </rPr>
          <t>Equivalent to work force of 10,664 based on 38 hr week &amp; 48 weeks</t>
        </r>
      </text>
    </comment>
    <comment ref="H8" authorId="0">
      <text>
        <r>
          <rPr>
            <b/>
            <sz val="8"/>
            <rFont val="Tahoma"/>
            <family val="2"/>
          </rPr>
          <t>Consumer Price for 14.0 kW Evaporative Cooler</t>
        </r>
        <r>
          <rPr>
            <sz val="8"/>
            <rFont val="Tahoma"/>
            <family val="2"/>
          </rPr>
          <t xml:space="preserve"> 
Estimate Av. installation = $3,600 plus GST, however would useful exercise to obtain quotations as prices vary significantly from State to State &amp; b/n brands.
</t>
        </r>
      </text>
    </comment>
    <comment ref="H9" authorId="0">
      <text>
        <r>
          <rPr>
            <b/>
            <sz val="8"/>
            <rFont val="Tahoma"/>
            <family val="2"/>
          </rPr>
          <t>Consumer Prices for 20 to 26 kW Gas Ducted Heater</t>
        </r>
        <r>
          <rPr>
            <sz val="8"/>
            <rFont val="Tahoma"/>
            <family val="2"/>
          </rPr>
          <t xml:space="preserve">
Estimate Av. installation = $3,200 plus GST, however would useful exercise to obtain quotations as prices vary significantly b/n brands &amp; dealers.
</t>
        </r>
      </text>
    </comment>
    <comment ref="H1" authorId="0">
      <text>
        <r>
          <rPr>
            <b/>
            <sz val="8"/>
            <rFont val="Tahoma"/>
            <family val="2"/>
          </rPr>
          <t>Commercial Value</t>
        </r>
        <r>
          <rPr>
            <sz val="8"/>
            <rFont val="Tahoma"/>
            <family val="2"/>
          </rPr>
          <t xml:space="preserve">
Wholesale Value p.a. is calculated by multiplying Av. Value (wholesale) x Quantity Sold (units) p.a.  The true commercial value can be estimated by multiplying the Wholesale Value by 2 to 4 times (depending on technology &amp; complexity of application) to take into account installation costs &amp; margins.
Eg 6.0 kW Wall Hung Split Systems = $1,050 x 2 = $2,100 plus GST fully installed
Eg 15.0 kW Split ducted System $3,189 x 2.5 (or x 3.0) = $7,970 to $9570 plus GST fully installed 
More complex installations (incl. commercial) use higher multipliers.
The average multiplier accross all residential &amp; light commercial applications is 2.4</t>
        </r>
      </text>
    </comment>
  </commentList>
</comments>
</file>

<file path=xl/comments6.xml><?xml version="1.0" encoding="utf-8"?>
<comments xmlns="http://schemas.openxmlformats.org/spreadsheetml/2006/main">
  <authors>
    <author> </author>
  </authors>
  <commentList>
    <comment ref="A2" authorId="0">
      <text>
        <r>
          <rPr>
            <sz val="8"/>
            <rFont val="Tahoma"/>
            <family val="2"/>
          </rPr>
          <t>Sources:
ABS4442.0 Family Characteristics - June 2003
ABS3236.0 Household &amp; Family Projections - 2001 to 2026</t>
        </r>
      </text>
    </comment>
    <comment ref="A11" authorId="0">
      <text>
        <r>
          <rPr>
            <sz val="8"/>
            <rFont val="Tahoma"/>
            <family val="2"/>
          </rPr>
          <t>Have applied 15% of all AC types to estimate Evap Coolers (excl. portable).  This estimate is a significant weakness in this analysis.  Further data is required to qualify Existing Stock &amp; correct distribution by state.
Evap. Coolers are popular in WA, SA &amp; rural NSW/Qld/Vic where humidity is low.  Distribution by state is very different to other AC types.</t>
        </r>
      </text>
    </comment>
    <comment ref="A1" authorId="0">
      <text>
        <r>
          <rPr>
            <sz val="8"/>
            <rFont val="Tahoma"/>
            <family val="2"/>
          </rPr>
          <t>Ownership can exceed 1.0</t>
        </r>
      </text>
    </comment>
  </commentList>
</comments>
</file>

<file path=xl/comments7.xml><?xml version="1.0" encoding="utf-8"?>
<comments xmlns="http://schemas.openxmlformats.org/spreadsheetml/2006/main">
  <authors>
    <author> </author>
  </authors>
  <commentList>
    <comment ref="I7" authorId="0">
      <text>
        <r>
          <rPr>
            <sz val="8"/>
            <rFont val="Tahoma"/>
            <family val="2"/>
          </rPr>
          <t xml:space="preserve">Chargeless Piping Length = 0 m Additional Additional Charge = 
Total length (m) of liquid pipe dia 9.5 x 0.054 + Total length (m) of liquid pipe dia 6.4 x 0.022
Eg: 7.5m of ea. = Additional 0.57 kg
Total Charge = 5.1 + 0.57 = 5.67 kg </t>
        </r>
      </text>
    </comment>
    <comment ref="C13" authorId="0">
      <text>
        <r>
          <rPr>
            <sz val="8"/>
            <rFont val="Tahoma"/>
            <family val="2"/>
          </rPr>
          <t>Av. of Hitachi &amp; Daikin 
= (3.8 + 5.67)/2 = 4.735 kg</t>
        </r>
      </text>
    </comment>
    <comment ref="C12" authorId="0">
      <text>
        <r>
          <rPr>
            <sz val="8"/>
            <rFont val="Tahoma"/>
            <family val="2"/>
          </rPr>
          <t>= 4.7 + (7.5 x 0.11)
= 5.525 kg</t>
        </r>
      </text>
    </comment>
    <comment ref="C11" authorId="0">
      <text>
        <r>
          <rPr>
            <sz val="8"/>
            <rFont val="Tahoma"/>
            <family val="2"/>
          </rPr>
          <t>Av. of Daikin &amp; Lennox 
= (4.1 + (4.05 + 10.4 x 0.11))/2 
= 4.647 kg</t>
        </r>
      </text>
    </comment>
    <comment ref="A16" authorId="0">
      <text>
        <r>
          <rPr>
            <b/>
            <sz val="8"/>
            <rFont val="Tahoma"/>
            <family val="2"/>
          </rPr>
          <t>Refrigerant Use Trends: Split Systems</t>
        </r>
        <r>
          <rPr>
            <sz val="8"/>
            <rFont val="Tahoma"/>
            <family val="2"/>
          </rPr>
          <t xml:space="preserve">
R22 was the preferred choice of refrigerant for both local &amp; overseas manufacturers on constant speed units over the last 10 to 15 years.
The introduction of inverter technology saw R410A used on single phase units up to 15 kW (some suppliers offering larger models).
Constant speed models (single phase &amp; three phase) are migrating towards R407C &amp; R410A.</t>
        </r>
      </text>
    </comment>
    <comment ref="C38" authorId="0">
      <text>
        <r>
          <rPr>
            <sz val="8"/>
            <rFont val="Tahoma"/>
            <family val="2"/>
          </rPr>
          <t>Av. of sample of 6 off R22 models ranging from 5.0 to 6.3 kW</t>
        </r>
      </text>
    </comment>
    <comment ref="C39" authorId="0">
      <text>
        <r>
          <rPr>
            <sz val="8"/>
            <rFont val="Tahoma"/>
            <family val="2"/>
          </rPr>
          <t>Av. of sample of 7 off R410A models ranging from 4.7 to 6.0 kW</t>
        </r>
      </text>
    </comment>
    <comment ref="A42" authorId="0">
      <text>
        <r>
          <rPr>
            <b/>
            <sz val="8"/>
            <rFont val="Tahoma"/>
            <family val="2"/>
          </rPr>
          <t>Refrigerant Use Trends: Split Systems</t>
        </r>
        <r>
          <rPr>
            <sz val="8"/>
            <rFont val="Tahoma"/>
            <family val="2"/>
          </rPr>
          <t xml:space="preserve">
R22 was the preferred choice of refrigerant throughout the 1990's &amp; early 2000's.  The introduction of inverter technology, higher efficiency requirements &amp; greater environmental awareness has driven a swing towards R410A models to the extent were some major suppliers (ie Mitsubishi Electric) no longer offer R22 models.
Despite the recent dominance of new R410A models, the installed base would still be dominated by R22 models.  </t>
        </r>
      </text>
    </comment>
    <comment ref="A57" authorId="0">
      <text>
        <r>
          <rPr>
            <b/>
            <sz val="8"/>
            <rFont val="Tahoma"/>
            <family val="2"/>
          </rPr>
          <t>Refrigerant Use Trends: Window/Wall &amp; Portable</t>
        </r>
        <r>
          <rPr>
            <sz val="8"/>
            <rFont val="Tahoma"/>
            <family val="2"/>
          </rPr>
          <t xml:space="preserve">
R22 was the preferred choice of refrigerant for both local &amp; overseas manufacturers on Window/Wall Units over the last 10 to 15 years.  Due to recent MEPS changes a handful of manufacturers have justified the expenditure of migrated to R410A, however many are still on R22.
Portable units are slightly different, where R22 was the dominate choice of refrigerant, however models such as the Electrolux EPV09CRA &amp; EPV12CRA were developed for the European market (use R410A/240V) &amp; drive more R410A units into the portable installed base. </t>
        </r>
      </text>
    </comment>
    <comment ref="D58" authorId="0">
      <text>
        <r>
          <rPr>
            <sz val="8"/>
            <rFont val="Tahoma"/>
            <family val="2"/>
          </rPr>
          <t>Av. of sample of 7 off R22 models ranging from 1.73 to 4.8 kW</t>
        </r>
      </text>
    </comment>
  </commentList>
</comments>
</file>

<file path=xl/comments8.xml><?xml version="1.0" encoding="utf-8"?>
<comments xmlns="http://schemas.openxmlformats.org/spreadsheetml/2006/main">
  <authors>
    <author> </author>
  </authors>
  <commentList>
    <comment ref="A3" authorId="0">
      <text>
        <r>
          <rPr>
            <sz val="8"/>
            <rFont val="Tahoma"/>
            <family val="2"/>
          </rPr>
          <t xml:space="preserve">There are approx. 8,000 registered water cooling towers in Victoria (25% of population).  National installed base of chillers is approx. 32,000.  Can be two or more water towers per chiller &amp; water towers are not just used for Air Conditioning.  </t>
        </r>
      </text>
    </comment>
    <comment ref="B99" authorId="0">
      <text>
        <r>
          <rPr>
            <sz val="8"/>
            <rFont val="Tahoma"/>
            <family val="2"/>
          </rPr>
          <t xml:space="preserve">Less than Industrial due to seasonality
</t>
        </r>
      </text>
    </comment>
  </commentList>
</comments>
</file>

<file path=xl/comments9.xml><?xml version="1.0" encoding="utf-8"?>
<comments xmlns="http://schemas.openxmlformats.org/spreadsheetml/2006/main">
  <authors>
    <author> </author>
  </authors>
  <commentList>
    <comment ref="A24" authorId="0">
      <text>
        <r>
          <rPr>
            <sz val="8"/>
            <rFont val="Tahoma"/>
            <family val="2"/>
          </rPr>
          <t>Allocation of Chiller &amp; Industrial Energy Consumption between primary &amp; secondary processing is 58:42 split
CSIRO overall split between primary &amp; secondary was 58%: 42%, however believe secondary energy consumption has been under estimated.
Further investigation required with suppliers/contractors chillers/industrial refrigeration.</t>
        </r>
      </text>
    </comment>
    <comment ref="A29" authorId="0">
      <text>
        <r>
          <rPr>
            <sz val="8"/>
            <rFont val="Tahoma"/>
            <family val="2"/>
          </rPr>
          <t xml:space="preserve">CSIRO estimate = 455 GWh/a 
ES estimate = 651 GWh/a
</t>
        </r>
      </text>
    </comment>
    <comment ref="D29" authorId="0">
      <text>
        <r>
          <rPr>
            <sz val="8"/>
            <rFont val="Tahoma"/>
            <family val="2"/>
          </rPr>
          <t xml:space="preserve">CSIRO estimate = 326 GWh/a 
ES estimate = 438 GWh/a
</t>
        </r>
      </text>
    </comment>
    <comment ref="G29" authorId="0">
      <text>
        <r>
          <rPr>
            <sz val="8"/>
            <rFont val="Tahoma"/>
            <family val="2"/>
          </rPr>
          <t>ES estimate = 462 GWh/a
CSIRO estimate = 605 GWh/a</t>
        </r>
      </text>
    </comment>
    <comment ref="J29" authorId="0">
      <text>
        <r>
          <rPr>
            <sz val="8"/>
            <rFont val="Tahoma"/>
            <family val="2"/>
          </rPr>
          <t>CSIRO estimate = 8,480 GWh/a, which was largely based on estimates in MEPS reports.  Have confirmed that some of this data is understated.</t>
        </r>
      </text>
    </comment>
  </commentList>
</comments>
</file>

<file path=xl/sharedStrings.xml><?xml version="1.0" encoding="utf-8"?>
<sst xmlns="http://schemas.openxmlformats.org/spreadsheetml/2006/main" count="1920" uniqueCount="954">
  <si>
    <t>Notes &amp; Assumptions:</t>
  </si>
  <si>
    <t>Unit volumes &amp; values are for suppliers/manufacturers &amp; do not include retail/wholesalers</t>
  </si>
  <si>
    <t>Split Systems</t>
  </si>
  <si>
    <t>Product Type</t>
  </si>
  <si>
    <t>Quantity (Units)</t>
  </si>
  <si>
    <t>Value ($000)</t>
  </si>
  <si>
    <t>Av. Value</t>
  </si>
  <si>
    <t>Year</t>
  </si>
  <si>
    <t>Indoor Unit</t>
  </si>
  <si>
    <t>Outdoor Unit</t>
  </si>
  <si>
    <t>Est. Participation Rate</t>
  </si>
  <si>
    <t>Av. Size   (kW)</t>
  </si>
  <si>
    <t>Growth (%)</t>
  </si>
  <si>
    <t>-</t>
  </si>
  <si>
    <t>Av. kW size is weight value based on unit volumes</t>
  </si>
  <si>
    <t>Wall Mounted</t>
  </si>
  <si>
    <t>Applications include residential &amp; light commercial</t>
  </si>
  <si>
    <t>Heat Pump</t>
  </si>
  <si>
    <t>Up to 2.5</t>
  </si>
  <si>
    <t>Cooling Only</t>
  </si>
  <si>
    <t>&gt;2.5 to 4</t>
  </si>
  <si>
    <t>&gt;4 to 7.5</t>
  </si>
  <si>
    <t>&gt;7.5 to 10</t>
  </si>
  <si>
    <t>&gt;10 to 12.5</t>
  </si>
  <si>
    <t>&gt;12.5 to 15.5</t>
  </si>
  <si>
    <t>&gt;15.5 to 18</t>
  </si>
  <si>
    <t>Total Up to 18</t>
  </si>
  <si>
    <t>&gt;18 to 25</t>
  </si>
  <si>
    <t>&gt;25 to 30</t>
  </si>
  <si>
    <t>&gt;30 to 37.5</t>
  </si>
  <si>
    <t>&gt;37.5 to 45</t>
  </si>
  <si>
    <t>&gt;45 to 65</t>
  </si>
  <si>
    <t>&gt;65 to 77.5</t>
  </si>
  <si>
    <t>&gt;77.5 to 90</t>
  </si>
  <si>
    <t>&gt;90 to 120</t>
  </si>
  <si>
    <t>&gt;120 to 160</t>
  </si>
  <si>
    <t xml:space="preserve">Over 160 </t>
  </si>
  <si>
    <t>Total Over 18</t>
  </si>
  <si>
    <t>Total Heat Pump</t>
  </si>
  <si>
    <t>Total Cooling Only</t>
  </si>
  <si>
    <t>Total Outdoor Units</t>
  </si>
  <si>
    <t>RT Packaged</t>
  </si>
  <si>
    <t>Up to 7.5</t>
  </si>
  <si>
    <t xml:space="preserve"> &gt;12.5 to 15.5</t>
  </si>
  <si>
    <t>&gt; 18 to 25</t>
  </si>
  <si>
    <t>Over 160</t>
  </si>
  <si>
    <t>RT Packaged Systems</t>
  </si>
  <si>
    <t>Est. Av. Life    (Yrs)</t>
  </si>
  <si>
    <t>Est. Imported</t>
  </si>
  <si>
    <t>95% Powered by Electricity &amp; 5% Powered by Gas</t>
  </si>
  <si>
    <t>100% Powered by Electricity</t>
  </si>
  <si>
    <t>Over 95% of applications are commercial</t>
  </si>
  <si>
    <t>Gas Ducted Heaters</t>
  </si>
  <si>
    <t>Over 90% of applications domestic</t>
  </si>
  <si>
    <t>100% Powered by Natural Gas or LPG</t>
  </si>
  <si>
    <t>Up to 15Kw</t>
  </si>
  <si>
    <t>&gt;15 to 22Kw</t>
  </si>
  <si>
    <t>&gt;22 to 29Kw</t>
  </si>
  <si>
    <t>Over 29Kw</t>
  </si>
  <si>
    <t xml:space="preserve">Total Standard Plus Condensing </t>
  </si>
  <si>
    <t>Split System Total</t>
  </si>
  <si>
    <t>Majority sold in 2006/7 were inverter, except Qld</t>
  </si>
  <si>
    <t>Large majority are reverse cycle</t>
  </si>
  <si>
    <t>Participants:</t>
  </si>
  <si>
    <t>VRV Systems</t>
  </si>
  <si>
    <t>Est. Imported (%)</t>
  </si>
  <si>
    <t>Evaporative Coolers</t>
  </si>
  <si>
    <t>Temperzone</t>
  </si>
  <si>
    <t>Carrier</t>
  </si>
  <si>
    <t>ECP</t>
  </si>
  <si>
    <t>Mitsubishi Electric</t>
  </si>
  <si>
    <t>Hitachi Australia</t>
  </si>
  <si>
    <t>LG Electronics</t>
  </si>
  <si>
    <t>Mitsubishi Heavy Industries</t>
  </si>
  <si>
    <t>Trane</t>
  </si>
  <si>
    <t>Lennox</t>
  </si>
  <si>
    <t>Actron Air</t>
  </si>
  <si>
    <t>Daikin</t>
  </si>
  <si>
    <t>Est. Quantity Sold (Units)</t>
  </si>
  <si>
    <t>Panasonic</t>
  </si>
  <si>
    <t>Fujitsu General</t>
  </si>
  <si>
    <t>Samsung</t>
  </si>
  <si>
    <t>Av. Size   Cooling (kW)</t>
  </si>
  <si>
    <t>Electrolux</t>
  </si>
  <si>
    <t>NEC</t>
  </si>
  <si>
    <t>Sharp</t>
  </si>
  <si>
    <t>Sanyo</t>
  </si>
  <si>
    <t>Cooline</t>
  </si>
  <si>
    <t>Over 100 Brands in split market</t>
  </si>
  <si>
    <t>Key Participants:</t>
  </si>
  <si>
    <t>Brivis</t>
  </si>
  <si>
    <t>Seely - Breamar</t>
  </si>
  <si>
    <t>Stadt (in liquidation)</t>
  </si>
  <si>
    <t>Climate Technologies - Vulcan</t>
  </si>
  <si>
    <t>Chillers</t>
  </si>
  <si>
    <t>Quantity (Units) p.a.</t>
  </si>
  <si>
    <t>30 - 200kW</t>
  </si>
  <si>
    <t>Compressors:</t>
  </si>
  <si>
    <t>Domestic/small com</t>
  </si>
  <si>
    <t>Commercial</t>
  </si>
  <si>
    <t>Commercial: Refrig</t>
  </si>
  <si>
    <t>Commercial: A/C</t>
  </si>
  <si>
    <t>Condensing Units</t>
  </si>
  <si>
    <t>Small Commercial</t>
  </si>
  <si>
    <t>Rack Systems</t>
  </si>
  <si>
    <t>Supermarket</t>
  </si>
  <si>
    <t>Heat Pump Swimming Pool</t>
  </si>
  <si>
    <t>Refrigerated Cold Food Chain</t>
  </si>
  <si>
    <t>Dairy Industry</t>
  </si>
  <si>
    <t>Dairy Farmers</t>
  </si>
  <si>
    <t>Fruit Farmers</t>
  </si>
  <si>
    <t>Vegetable Farmers</t>
  </si>
  <si>
    <t>Beverages</t>
  </si>
  <si>
    <t>Frozen Foods</t>
  </si>
  <si>
    <t>Industrial Refrigeration</t>
  </si>
  <si>
    <t>Large Cold Stores</t>
  </si>
  <si>
    <t>Cold Rooms</t>
  </si>
  <si>
    <t>Trucks</t>
  </si>
  <si>
    <t>Trains</t>
  </si>
  <si>
    <t>Light Com</t>
  </si>
  <si>
    <t>Air</t>
  </si>
  <si>
    <t>Containers</t>
  </si>
  <si>
    <t>Refrig:</t>
  </si>
  <si>
    <t>Marine</t>
  </si>
  <si>
    <t>Cool Rooms</t>
  </si>
  <si>
    <t>Display Cases</t>
  </si>
  <si>
    <t>Icemakers</t>
  </si>
  <si>
    <t>Confectionary</t>
  </si>
  <si>
    <t>Ice Cream Displays</t>
  </si>
  <si>
    <t>Reach in Refrigerators</t>
  </si>
  <si>
    <t>Reach in Freezers</t>
  </si>
  <si>
    <t>Refrigeration Technology</t>
  </si>
  <si>
    <t>Applications</t>
  </si>
  <si>
    <t>Household</t>
  </si>
  <si>
    <t>Restaurants</t>
  </si>
  <si>
    <t>Hotels</t>
  </si>
  <si>
    <t>Hospitals</t>
  </si>
  <si>
    <t>Vending Machines</t>
  </si>
  <si>
    <t>Ice Making Equipment</t>
  </si>
  <si>
    <t>Commercial Ref/Freezer</t>
  </si>
  <si>
    <t>Wholesalers of Refrigeration Equipment, Components, Cu Pipe, Controls, Tools &amp; Accessories</t>
  </si>
  <si>
    <t>Suppliers of Refrigeration Equipment, Components, Cu Pipe, Controls, Tools &amp; Accessories</t>
  </si>
  <si>
    <t>Types of Businesses Supplying/Installing/Servicing Refrigeration Technology</t>
  </si>
  <si>
    <t>Household Refrig. Appliances</t>
  </si>
  <si>
    <t>Cool Room manufacturers/contractors</t>
  </si>
  <si>
    <t>Self-contained Display Cases</t>
  </si>
  <si>
    <t>Glass Door Merchandisers</t>
  </si>
  <si>
    <t>Existing Stock</t>
  </si>
  <si>
    <t>Refrigerated Vending Machines</t>
  </si>
  <si>
    <t>Cold Water Dispensers</t>
  </si>
  <si>
    <t>Livestock Producers</t>
  </si>
  <si>
    <t>Poultry Farmers</t>
  </si>
  <si>
    <t>Ice Bins</t>
  </si>
  <si>
    <t>R134a</t>
  </si>
  <si>
    <t xml:space="preserve">Miscellaneous: </t>
  </si>
  <si>
    <t>Energy Consumption  (kWh/yr)</t>
  </si>
  <si>
    <t>Self Contained Commercial Refrig. Equip</t>
  </si>
  <si>
    <t>Refrigerated Portable</t>
  </si>
  <si>
    <t>Precision Control A/C</t>
  </si>
  <si>
    <t>Trailer &amp; Inter-Modal: Refrigeration</t>
  </si>
  <si>
    <t>Total Refrigerated Transport</t>
  </si>
  <si>
    <t>Ammonia/R22</t>
  </si>
  <si>
    <t>QLD</t>
  </si>
  <si>
    <t>NSW</t>
  </si>
  <si>
    <t>VIC</t>
  </si>
  <si>
    <t>TAS</t>
  </si>
  <si>
    <t>SA</t>
  </si>
  <si>
    <t>NT</t>
  </si>
  <si>
    <t>WA</t>
  </si>
  <si>
    <t>Total</t>
  </si>
  <si>
    <t>&amp; ACT</t>
  </si>
  <si>
    <t>&amp; BH</t>
  </si>
  <si>
    <t>Split Ducted Outdoor Units</t>
  </si>
  <si>
    <t>Av.</t>
  </si>
  <si>
    <t>RT Package</t>
  </si>
  <si>
    <t>Decline</t>
  </si>
  <si>
    <t>na</t>
  </si>
  <si>
    <t>10% plus</t>
  </si>
  <si>
    <t xml:space="preserve">Refrigeration Mechanics employed by Small/Medium/Large Contractors, Super Market Contractors, Industry, </t>
  </si>
  <si>
    <t>Refrigerated Transport Coys, Appliance Manufacturers/Suppliers</t>
  </si>
  <si>
    <r>
      <t>Chiller = 3</t>
    </r>
    <r>
      <rPr>
        <vertAlign val="superscript"/>
        <sz val="8"/>
        <rFont val="Arial"/>
        <family val="2"/>
      </rPr>
      <t>o</t>
    </r>
    <r>
      <rPr>
        <sz val="8"/>
        <rFont val="Arial"/>
        <family val="2"/>
      </rPr>
      <t>C</t>
    </r>
  </si>
  <si>
    <r>
      <t>Freezer = -20</t>
    </r>
    <r>
      <rPr>
        <vertAlign val="superscript"/>
        <sz val="8"/>
        <rFont val="Arial"/>
        <family val="2"/>
      </rPr>
      <t>o</t>
    </r>
    <r>
      <rPr>
        <sz val="8"/>
        <rFont val="Arial"/>
        <family val="2"/>
      </rPr>
      <t>C</t>
    </r>
  </si>
  <si>
    <r>
      <t>7.5 Million m</t>
    </r>
    <r>
      <rPr>
        <vertAlign val="superscript"/>
        <sz val="8"/>
        <rFont val="Arial"/>
        <family val="2"/>
      </rPr>
      <t xml:space="preserve">3 </t>
    </r>
  </si>
  <si>
    <t>Poultry Processors</t>
  </si>
  <si>
    <t>Off Engine/Vehicle Powered Refrigeration (Option Electrical Stand-by)</t>
  </si>
  <si>
    <t>Diesel Drive: Truck Refrigeration</t>
  </si>
  <si>
    <t>4 to 10</t>
  </si>
  <si>
    <t>1 to 5</t>
  </si>
  <si>
    <t>6 to 7.5</t>
  </si>
  <si>
    <t xml:space="preserve"> 6 to 9</t>
  </si>
  <si>
    <t>6 to 10</t>
  </si>
  <si>
    <t>Wall Mounted Split Systems</t>
  </si>
  <si>
    <t>VRV</t>
  </si>
  <si>
    <t>Window</t>
  </si>
  <si>
    <t>Est. Imported (Units)</t>
  </si>
  <si>
    <t>Location/Site</t>
  </si>
  <si>
    <t>State</t>
  </si>
  <si>
    <t>Refrigerant</t>
  </si>
  <si>
    <t>Estimated Tons</t>
  </si>
  <si>
    <t>Clayton</t>
  </si>
  <si>
    <t>Vic</t>
  </si>
  <si>
    <t>R22</t>
  </si>
  <si>
    <t>Doveton</t>
  </si>
  <si>
    <t>Lyndhurst</t>
  </si>
  <si>
    <t>Ammonia</t>
  </si>
  <si>
    <t>Homebush</t>
  </si>
  <si>
    <t>Lurnea</t>
  </si>
  <si>
    <t>Minto</t>
  </si>
  <si>
    <t>Hemmant 1</t>
  </si>
  <si>
    <t>Qld</t>
  </si>
  <si>
    <t>Hemmant 2</t>
  </si>
  <si>
    <t>Hemmant 3</t>
  </si>
  <si>
    <t>Murarrie</t>
  </si>
  <si>
    <t>Cannon Hill</t>
  </si>
  <si>
    <t>Townsville</t>
  </si>
  <si>
    <t>Legana</t>
  </si>
  <si>
    <t>Tas</t>
  </si>
  <si>
    <t>R22/R504</t>
  </si>
  <si>
    <t>Dry Creek, Cavan 1</t>
  </si>
  <si>
    <t>Cavan 2</t>
  </si>
  <si>
    <t>Cavan 3</t>
  </si>
  <si>
    <t>Mile End</t>
  </si>
  <si>
    <t>Port Adelaide</t>
  </si>
  <si>
    <t>Croydon</t>
  </si>
  <si>
    <t>Banjup</t>
  </si>
  <si>
    <t>Palmyra</t>
  </si>
  <si>
    <t>m3</t>
  </si>
  <si>
    <t>kWh/day</t>
  </si>
  <si>
    <t>kWh/a</t>
  </si>
  <si>
    <t>Energy Bill</t>
  </si>
  <si>
    <t>kWhr/a per m3</t>
  </si>
  <si>
    <t>Refrig. Only</t>
  </si>
  <si>
    <t>Assumptions:</t>
  </si>
  <si>
    <t>Chiller/Freezer</t>
  </si>
  <si>
    <t>% Energy Consumed by Ref.</t>
  </si>
  <si>
    <t>Company</t>
  </si>
  <si>
    <t>Swire</t>
  </si>
  <si>
    <t>Refrigerated Capacity m3</t>
  </si>
  <si>
    <t>Oxford</t>
  </si>
  <si>
    <t>Versacold</t>
  </si>
  <si>
    <t>Toll</t>
  </si>
  <si>
    <t>Montague</t>
  </si>
  <si>
    <t>Scots</t>
  </si>
  <si>
    <t>Harbourside</t>
  </si>
  <si>
    <t>Victoria Cold Storage</t>
  </si>
  <si>
    <t>Lago Coldstores</t>
  </si>
  <si>
    <t>CB Cold Storage</t>
  </si>
  <si>
    <t>Doboy Coldstores</t>
  </si>
  <si>
    <t>Devonport</t>
  </si>
  <si>
    <t>Burnie Ports</t>
  </si>
  <si>
    <t>Hobart</t>
  </si>
  <si>
    <t>TOTAL</t>
  </si>
  <si>
    <t>New NSW</t>
  </si>
  <si>
    <t>Other NSW</t>
  </si>
  <si>
    <t>Other Vic</t>
  </si>
  <si>
    <t>Other Qld</t>
  </si>
  <si>
    <t>Other Tas</t>
  </si>
  <si>
    <t>Other NT</t>
  </si>
  <si>
    <t>Swire Refrigerant Site Summary</t>
  </si>
  <si>
    <t>Case Studies</t>
  </si>
  <si>
    <t>Segment</t>
  </si>
  <si>
    <t>Convenience Stores</t>
  </si>
  <si>
    <t>Pubs &amp; Clubs &amp; Restaurants</t>
  </si>
  <si>
    <t>Mech Cabinets &amp; Vend machines</t>
  </si>
  <si>
    <t>Take Away Food</t>
  </si>
  <si>
    <t>Supermarket: Lg</t>
  </si>
  <si>
    <t>Clubs: Lg</t>
  </si>
  <si>
    <t>Grocery Stores</t>
  </si>
  <si>
    <t>Service Stations: Lg</t>
  </si>
  <si>
    <t>Bottle Shops</t>
  </si>
  <si>
    <t>Fresh Meat, Fish &amp; Poultry</t>
  </si>
  <si>
    <t>Pubs</t>
  </si>
  <si>
    <t>Café's Restaurants</t>
  </si>
  <si>
    <t>Other</t>
  </si>
  <si>
    <t>Self Contained</t>
  </si>
  <si>
    <t>Supermarket: Md</t>
  </si>
  <si>
    <t>Supermarket: Sm</t>
  </si>
  <si>
    <t>Clubs: Sm</t>
  </si>
  <si>
    <t>Central</t>
  </si>
  <si>
    <t xml:space="preserve">Display Case </t>
  </si>
  <si>
    <t>Supermarket Total</t>
  </si>
  <si>
    <t>GWh/a</t>
  </si>
  <si>
    <t>Supermarket Analysis</t>
  </si>
  <si>
    <t># Stores</t>
  </si>
  <si>
    <t>%</t>
  </si>
  <si>
    <t>Size</t>
  </si>
  <si>
    <t>Equipment Type</t>
  </si>
  <si>
    <t>Total Comm. Refrig.</t>
  </si>
  <si>
    <t>Total Self Contained: Comm Refrig.</t>
  </si>
  <si>
    <t>Total Remote: Comm Refrig.</t>
  </si>
  <si>
    <t>% Energy Consumed</t>
  </si>
  <si>
    <t>Volume Units</t>
  </si>
  <si>
    <t>Value $</t>
  </si>
  <si>
    <t>Ratio Split/Wall</t>
  </si>
  <si>
    <t>Up to 2</t>
  </si>
  <si>
    <t>&gt;2.to 3</t>
  </si>
  <si>
    <t>&gt;3 to 4</t>
  </si>
  <si>
    <t>&gt;4 to 4.6</t>
  </si>
  <si>
    <t>&gt;4.6 to 5.4</t>
  </si>
  <si>
    <t>&gt;5.4 to 7.5</t>
  </si>
  <si>
    <t>&gt;7.5 to 18</t>
  </si>
  <si>
    <t>Wall Hung Splits</t>
  </si>
  <si>
    <t>Over 18</t>
  </si>
  <si>
    <t>Wall Hung Split Systems</t>
  </si>
  <si>
    <t>Imported</t>
  </si>
  <si>
    <t>% Imported</t>
  </si>
  <si>
    <t>Sold</t>
  </si>
  <si>
    <t>Growth</t>
  </si>
  <si>
    <t>% in Service</t>
  </si>
  <si>
    <t>Method 1</t>
  </si>
  <si>
    <t>Method 2</t>
  </si>
  <si>
    <t>Average Size Calculations</t>
  </si>
  <si>
    <t>Existing Base Calculation</t>
  </si>
  <si>
    <t>Regional Split Calculations</t>
  </si>
  <si>
    <t>Cooling Hrs</t>
  </si>
  <si>
    <t>Heating Hrs</t>
  </si>
  <si>
    <t>% Units by location</t>
  </si>
  <si>
    <t>Total Cooling Hrs</t>
  </si>
  <si>
    <t>Total Heating Hrs</t>
  </si>
  <si>
    <t>Assumptions for Sensitivity Analyisis</t>
  </si>
  <si>
    <t>Cooling Energy kWh/a</t>
  </si>
  <si>
    <t>Portable</t>
  </si>
  <si>
    <t>EER</t>
  </si>
  <si>
    <t>COP</t>
  </si>
  <si>
    <t>Precision AC</t>
  </si>
  <si>
    <t>Refrig. Portable</t>
  </si>
  <si>
    <t>Av. Capacity kW</t>
  </si>
  <si>
    <t>Window/Wall Units</t>
  </si>
  <si>
    <t>Split Systems: Residential</t>
  </si>
  <si>
    <t>% Commercial Applications</t>
  </si>
  <si>
    <t>Precision A/C</t>
  </si>
  <si>
    <t>Total Running Hrs/a</t>
  </si>
  <si>
    <t>Energy Consumption GWh/a</t>
  </si>
  <si>
    <t>Split Systems: Commercial</t>
  </si>
  <si>
    <t>Commercial Applications</t>
  </si>
  <si>
    <t>1997      10 Years</t>
  </si>
  <si>
    <t>1992       15 Years</t>
  </si>
  <si>
    <t>1987      20 Years</t>
  </si>
  <si>
    <t>1982      25 Years</t>
  </si>
  <si>
    <t xml:space="preserve">12hrs/252days </t>
  </si>
  <si>
    <t>Run Time</t>
  </si>
  <si>
    <t xml:space="preserve">24hrs/365days </t>
  </si>
  <si>
    <t>Business Mix</t>
  </si>
  <si>
    <t>Equiv. Hrs/day</t>
  </si>
  <si>
    <t>Weighted Av.</t>
  </si>
  <si>
    <t>Weighted Av. Hrs</t>
  </si>
  <si>
    <t>Operating Capacity Bins</t>
  </si>
  <si>
    <t>% Operating Time @ Capacity Level</t>
  </si>
  <si>
    <t>Effective Operating Hrs/day</t>
  </si>
  <si>
    <t>Ratio Cooling to Heating</t>
  </si>
  <si>
    <t>% Cooling to Heating</t>
  </si>
  <si>
    <t>Heating Energy kWh/a</t>
  </si>
  <si>
    <t>WHS Systems</t>
  </si>
  <si>
    <t>Window/Wall Units kWh/a</t>
  </si>
  <si>
    <t>Portable kWh/a</t>
  </si>
  <si>
    <t>Split System: Res kWh/a</t>
  </si>
  <si>
    <t>RT Package kWh/a</t>
  </si>
  <si>
    <t>Split System: Comm kWh/a</t>
  </si>
  <si>
    <t>Precision A/C kWh/a</t>
  </si>
  <si>
    <t>Chillers kWh/a</t>
  </si>
  <si>
    <t>WHS System</t>
  </si>
  <si>
    <t>Window/Wall</t>
  </si>
  <si>
    <t>Split System</t>
  </si>
  <si>
    <t>?</t>
  </si>
  <si>
    <t>Total by State</t>
  </si>
  <si>
    <t>% by State</t>
  </si>
  <si>
    <t xml:space="preserve">12hrs/365days </t>
  </si>
  <si>
    <t>1977      30 Years</t>
  </si>
  <si>
    <t>1976      35 Years</t>
  </si>
  <si>
    <t>Air Conditioning: Commercial</t>
  </si>
  <si>
    <t>Cold Food Chain</t>
  </si>
  <si>
    <t>Domestic Refrigeration</t>
  </si>
  <si>
    <t>Merch Cabinets &amp; Vend Machines: Self Cont.</t>
  </si>
  <si>
    <t>Transport</t>
  </si>
  <si>
    <t>Chiller Applications</t>
  </si>
  <si>
    <t>Nominal Size</t>
  </si>
  <si>
    <t>Cold Storage</t>
  </si>
  <si>
    <t>Process Chilling (Food Chain)</t>
  </si>
  <si>
    <t>Milk Harvesting and Storage</t>
  </si>
  <si>
    <t xml:space="preserve">Milk Processing </t>
  </si>
  <si>
    <t>Cream Cheese Industry</t>
  </si>
  <si>
    <t>Horticultual Products</t>
  </si>
  <si>
    <t>Fruit &amp; Veg</t>
  </si>
  <si>
    <t>Brewing and Winemaking</t>
  </si>
  <si>
    <t xml:space="preserve">Food processing (Confectionary, Frozen Foods, </t>
  </si>
  <si>
    <t>Drinks, Fruit Juice, Chilled Water as additive)</t>
  </si>
  <si>
    <t>Abattiors &amp; Meat Processors (inc. pig &amp; poultry)</t>
  </si>
  <si>
    <t>Large</t>
  </si>
  <si>
    <t>Aqua Culture &amp; Seafood</t>
  </si>
  <si>
    <t>Small/Med</t>
  </si>
  <si>
    <t>Ice Making (small)</t>
  </si>
  <si>
    <t>Small</t>
  </si>
  <si>
    <t>Commercial Air Conditioning</t>
  </si>
  <si>
    <t>Industrial Applications</t>
  </si>
  <si>
    <t>Plastics/die cooling</t>
  </si>
  <si>
    <t>Electronic Plating</t>
  </si>
  <si>
    <t>Printing machines &amp; associated equipment</t>
  </si>
  <si>
    <t>Dry Cleaning</t>
  </si>
  <si>
    <t>Pharmaceutical/CSL</t>
  </si>
  <si>
    <t>Lots of little plants</t>
  </si>
  <si>
    <t>Laser cutting equipment</t>
  </si>
  <si>
    <t>Construction</t>
  </si>
  <si>
    <t>Rare</t>
  </si>
  <si>
    <t>Cooling of water for industrial processes</t>
  </si>
  <si>
    <t>Other Applications</t>
  </si>
  <si>
    <t>Mining and Tunnels</t>
  </si>
  <si>
    <t>Petro-chemical/Gas &amp; Chemical</t>
  </si>
  <si>
    <t>Cooling water for medical or chemical equipment such as SEM, MRI and X-Ray units</t>
  </si>
  <si>
    <t>Liquifaction and Cryogenics</t>
  </si>
  <si>
    <t>Estimated Australian Market Size 2005/06</t>
  </si>
  <si>
    <t xml:space="preserve">Annual # Chillers Imported/Manufactured  </t>
  </si>
  <si>
    <t>Capacity</t>
  </si>
  <si>
    <t>W.C.</t>
  </si>
  <si>
    <t>A.C.</t>
  </si>
  <si>
    <t>Total # of Chillers</t>
  </si>
  <si>
    <t>KwR</t>
  </si>
  <si>
    <t># units</t>
  </si>
  <si>
    <t>&lt; 110</t>
  </si>
  <si>
    <t>&gt;110-350</t>
  </si>
  <si>
    <t>&gt;350-528</t>
  </si>
  <si>
    <t>&gt; 528-700</t>
  </si>
  <si>
    <t>&gt;700-1055</t>
  </si>
  <si>
    <t>&gt;1055-1750</t>
  </si>
  <si>
    <t>&gt;1750-3517</t>
  </si>
  <si>
    <t>&gt;3517-7034</t>
  </si>
  <si>
    <t>Transport vehicle air pollution, 2000</t>
  </si>
  <si>
    <t>Carbon monoxide (kt)</t>
  </si>
  <si>
    <t>NxO (kt)</t>
  </si>
  <si>
    <t>Volatile organic compunds (kt)</t>
  </si>
  <si>
    <t>Cars</t>
  </si>
  <si>
    <t>Light commercial vehicles</t>
  </si>
  <si>
    <t>Trucks - rigid and other</t>
  </si>
  <si>
    <t>Trucks - articulated</t>
  </si>
  <si>
    <t>Buses</t>
  </si>
  <si>
    <t>Motorcycles</t>
  </si>
  <si>
    <t>Registered vehicles by type</t>
  </si>
  <si>
    <t>Passenger vehicles</t>
  </si>
  <si>
    <t>Rigid trucks</t>
  </si>
  <si>
    <t>Articulated trucks</t>
  </si>
  <si>
    <t>Non freight trucks</t>
  </si>
  <si>
    <t>Total trucks</t>
  </si>
  <si>
    <t>Total number of registered vehicles ('000)</t>
  </si>
  <si>
    <t>Vic.</t>
  </si>
  <si>
    <t>Tas.</t>
  </si>
  <si>
    <t>ACT</t>
  </si>
  <si>
    <t>Australia</t>
  </si>
  <si>
    <t>Run Hrs</t>
  </si>
  <si>
    <t>Super Mkt</t>
  </si>
  <si>
    <t>Pubs &amp; Rest</t>
  </si>
  <si>
    <t>Take Away</t>
  </si>
  <si>
    <t>Merch Cab</t>
  </si>
  <si>
    <t>kW</t>
  </si>
  <si>
    <t>Number of Households (000's)</t>
  </si>
  <si>
    <t>Aust</t>
  </si>
  <si>
    <t>Family households: 2003</t>
  </si>
  <si>
    <t>Projected Family Households, 2006</t>
  </si>
  <si>
    <t>Projected Family Households, 2007</t>
  </si>
  <si>
    <t>NSW &amp; ACT</t>
  </si>
  <si>
    <t>Existing Stock: Residential</t>
  </si>
  <si>
    <t>Air Cond. Units per Household 2006</t>
  </si>
  <si>
    <t>Total AC all Types</t>
  </si>
  <si>
    <t>Sub Total AC all Types (excl. Evap.)</t>
  </si>
  <si>
    <t>AC Penetration (all types, excl Mcycl)</t>
  </si>
  <si>
    <t>Direct Energy Consumed from Auto Air Cond</t>
  </si>
  <si>
    <t>Av. Operating Time of A/C</t>
  </si>
  <si>
    <t>Av. Fuel Consumed Running A/C</t>
  </si>
  <si>
    <t>Fuel Consumed in 2005 (Million Litres)</t>
  </si>
  <si>
    <t>Due to A/C</t>
  </si>
  <si>
    <r>
      <t>CO</t>
    </r>
    <r>
      <rPr>
        <vertAlign val="subscript"/>
        <sz val="10"/>
        <rFont val="Arial"/>
        <family val="2"/>
      </rPr>
      <t>2</t>
    </r>
    <r>
      <rPr>
        <sz val="10"/>
        <rFont val="Arial"/>
        <family val="2"/>
      </rPr>
      <t>-e</t>
    </r>
  </si>
  <si>
    <t>Auto Air (excl. Train/Marine/Aviation/Defence)</t>
  </si>
  <si>
    <t>Av. Annual Growth Rate</t>
  </si>
  <si>
    <t>Mill Litres Due to A/C 2006</t>
  </si>
  <si>
    <t>Light</t>
  </si>
  <si>
    <t>Heavy</t>
  </si>
  <si>
    <t>Av. Growth p.a. %</t>
  </si>
  <si>
    <t>Av. Growth p.a. (units)</t>
  </si>
  <si>
    <t>Existing Stock Calculations</t>
  </si>
  <si>
    <t>Running Hrs p.a.</t>
  </si>
  <si>
    <t>Refrigeration Transport                   Product Type</t>
  </si>
  <si>
    <t>Refrigerated Containers                             (20ft &amp; 40ft Marine Containers)</t>
  </si>
  <si>
    <t>% Vehicles with Refrig.</t>
  </si>
  <si>
    <t>WHS System: Commercial</t>
  </si>
  <si>
    <t>WHS System Comm kWh/a</t>
  </si>
  <si>
    <t>Split Systems, RT Package &amp; Chillers</t>
  </si>
  <si>
    <t>WHS System Res kWh/a</t>
  </si>
  <si>
    <t>WHS Systems Residential</t>
  </si>
  <si>
    <t>Window/Wall Units Residential &amp; Commercial</t>
  </si>
  <si>
    <t>Energy Consumption    GWh/a</t>
  </si>
  <si>
    <t>VRV System KWh/a</t>
  </si>
  <si>
    <t>VRV System</t>
  </si>
  <si>
    <t>Freezers</t>
  </si>
  <si>
    <t>Truck:Trailer/Inter-modal</t>
  </si>
  <si>
    <t>Truck: Rigid</t>
  </si>
  <si>
    <t>Supermarket Systems</t>
  </si>
  <si>
    <t>Powered Off-Vehicle</t>
  </si>
  <si>
    <t>Supermarkets</t>
  </si>
  <si>
    <t>Pubs, Clubs &amp; Rest</t>
  </si>
  <si>
    <t xml:space="preserve">Takeaway Foods </t>
  </si>
  <si>
    <t>50% Chillers</t>
  </si>
  <si>
    <t>50% Freezers</t>
  </si>
  <si>
    <t>80 to 85% Med Temp</t>
  </si>
  <si>
    <t>Merchandising Equipment</t>
  </si>
  <si>
    <t>Description</t>
  </si>
  <si>
    <t>Application</t>
  </si>
  <si>
    <t>From (m3)</t>
  </si>
  <si>
    <t>To (m3)</t>
  </si>
  <si>
    <t>From (m2)</t>
  </si>
  <si>
    <t>To (m2)</t>
  </si>
  <si>
    <t>W/m2</t>
  </si>
  <si>
    <t>Av. W</t>
  </si>
  <si>
    <t>Nominal HP Cond. Unit</t>
  </si>
  <si>
    <t>Technology</t>
  </si>
  <si>
    <t>Cond. Units Sold p.a.</t>
  </si>
  <si>
    <t>Installed Base</t>
  </si>
  <si>
    <t>Most Common Refrig. Type</t>
  </si>
  <si>
    <t>Farm</t>
  </si>
  <si>
    <t>Catering</t>
  </si>
  <si>
    <t>Shop</t>
  </si>
  <si>
    <t>Deli Case/Other Retail</t>
  </si>
  <si>
    <t>Mechandising</t>
  </si>
  <si>
    <t>Fractional</t>
  </si>
  <si>
    <t>Hermetic</t>
  </si>
  <si>
    <t>R134a/R404A/R22</t>
  </si>
  <si>
    <t>Mini (up to 3m x 3m)</t>
  </si>
  <si>
    <t>Coolroom</t>
  </si>
  <si>
    <t>Up to 1</t>
  </si>
  <si>
    <t>Small (up to 6m x 4m x 3m)</t>
  </si>
  <si>
    <t>1 to 3</t>
  </si>
  <si>
    <t>Hermetic &amp; Semi</t>
  </si>
  <si>
    <t>R404A/R22</t>
  </si>
  <si>
    <t>Medium (6m x 6m x 4m)</t>
  </si>
  <si>
    <t>3 to 5.5</t>
  </si>
  <si>
    <t>Large (10m x10m x 4m)</t>
  </si>
  <si>
    <t>5.5 to 12.5</t>
  </si>
  <si>
    <t>Warehouse (20m x 10m x 4m)</t>
  </si>
  <si>
    <t>12.5 to 40</t>
  </si>
  <si>
    <t>Semi Hermetic</t>
  </si>
  <si>
    <t>Distribution Centre</t>
  </si>
  <si>
    <t>up</t>
  </si>
  <si>
    <t>Screw/Cetrifugal</t>
  </si>
  <si>
    <t xml:space="preserve"> </t>
  </si>
  <si>
    <t>Rule of thumb; Medium Temp Coolroom = 250 &amp; 300 W per m2</t>
  </si>
  <si>
    <t xml:space="preserve">Ratio Med Temp to Low Temp, 80:20 </t>
  </si>
  <si>
    <t>COP = 2.5 (weighted av. of med/high temp)</t>
  </si>
  <si>
    <t>Running time per day = 16 hrs</t>
  </si>
  <si>
    <t>Av. life of Cond. Unit:</t>
  </si>
  <si>
    <t>Av. kW</t>
  </si>
  <si>
    <t>Household                           = 8,330 GWh/a</t>
  </si>
  <si>
    <r>
      <t>Trans.             =               Mt CO</t>
    </r>
    <r>
      <rPr>
        <vertAlign val="subscript"/>
        <sz val="8"/>
        <rFont val="Arial"/>
        <family val="2"/>
      </rPr>
      <t xml:space="preserve">2 </t>
    </r>
    <r>
      <rPr>
        <sz val="8"/>
        <rFont val="Arial"/>
        <family val="2"/>
      </rPr>
      <t>-e</t>
    </r>
  </si>
  <si>
    <t>Misc. (water coolers, heat-pump swimming pools, etc.)</t>
  </si>
  <si>
    <t>Other Refrig. Cycle Equip.</t>
  </si>
  <si>
    <t>Large &amp; Small</t>
  </si>
  <si>
    <t>Small: 50% Food Chain, 50% Industrial/Other</t>
  </si>
  <si>
    <t>Medium: 33.3%ea. Comm. AC, Food Chain, Industrial/Other</t>
  </si>
  <si>
    <r>
      <t>R22/R404A/R507/CO</t>
    </r>
    <r>
      <rPr>
        <vertAlign val="subscript"/>
        <sz val="8"/>
        <rFont val="Arial"/>
        <family val="2"/>
      </rPr>
      <t>2</t>
    </r>
    <r>
      <rPr>
        <sz val="8"/>
        <rFont val="Arial"/>
        <family val="2"/>
      </rPr>
      <t>/R134a</t>
    </r>
  </si>
  <si>
    <t>Chillers: Food Chain</t>
  </si>
  <si>
    <t>Effective Run Time</t>
  </si>
  <si>
    <t>Co-generation</t>
  </si>
  <si>
    <t>Disection of Chillers by Size/Applications</t>
  </si>
  <si>
    <t>Swire Cold Storeage Analysis</t>
  </si>
  <si>
    <t>50/50</t>
  </si>
  <si>
    <t>Industry Calculation</t>
  </si>
  <si>
    <t>Check          Cost/kWh</t>
  </si>
  <si>
    <t>75/25</t>
  </si>
  <si>
    <t>Av. CSIRO &amp; Actual         GWh/a</t>
  </si>
  <si>
    <t>Based on Swire Actuals GWh/a</t>
  </si>
  <si>
    <t>See Energy Calc. Estimate Below</t>
  </si>
  <si>
    <t>Cold/Freezer Rooms: Remote (excl. Cold Storage Channel/Superarket)</t>
  </si>
  <si>
    <t>Cold Storage (Channel)</t>
  </si>
  <si>
    <t>Estimated Energy Consumed Cold Storage (Channel) GWh/a =</t>
  </si>
  <si>
    <t>Estimated Energy Consumed Cool Rooms (excl. Cold Storage/Supermarket) GWh/a =</t>
  </si>
  <si>
    <t>Cool Rooms = 106 GWh/a</t>
  </si>
  <si>
    <t>Industrial Refrig.                 = 356 GWh/a</t>
  </si>
  <si>
    <t>Industrial Refrig.</t>
  </si>
  <si>
    <t>Cool Rooms = 51 GWh/a</t>
  </si>
  <si>
    <t>Cool Room = 47 GWh/a</t>
  </si>
  <si>
    <t>Cool Room = 100 GWh/a</t>
  </si>
  <si>
    <t>By Business Type: Method 2</t>
  </si>
  <si>
    <t>Medium Temp</t>
  </si>
  <si>
    <t>Low Temp</t>
  </si>
  <si>
    <t>Retail: Supermarket</t>
  </si>
  <si>
    <t>Method 3</t>
  </si>
  <si>
    <t>Check</t>
  </si>
  <si>
    <t>Method 1: Supermarket Specification</t>
  </si>
  <si>
    <t>Method 2: MEPS, 2000</t>
  </si>
  <si>
    <t>Method 3: Actual Running Costs</t>
  </si>
  <si>
    <t>kWh/Month</t>
  </si>
  <si>
    <t>$/Month</t>
  </si>
  <si>
    <t>Month</t>
  </si>
  <si>
    <t>Assumptions</t>
  </si>
  <si>
    <t>Energy Bill: Super IGA (Yarram, Vic)</t>
  </si>
  <si>
    <t>% Energy Consumed on Refrigeration =</t>
  </si>
  <si>
    <t>Supermarket                      = 5,270 GWh/a</t>
  </si>
  <si>
    <t># Coolrooms</t>
  </si>
  <si>
    <t>Merchandising = 2,620 GWh/a</t>
  </si>
  <si>
    <t>Pubs/Clubs/Convenience Stores/Take Away Food</t>
  </si>
  <si>
    <t>Small/Med/Large</t>
  </si>
  <si>
    <t>Med/Large</t>
  </si>
  <si>
    <t>Medium</t>
  </si>
  <si>
    <t>Industrial Refrigeration (Ammonia)</t>
  </si>
  <si>
    <t>Chillers in Industrial Applications</t>
  </si>
  <si>
    <t>Cold Food Chain: Industrial (Ammonia Systems)</t>
  </si>
  <si>
    <t>Energy Calculations: Chillers</t>
  </si>
  <si>
    <t>Food Chain</t>
  </si>
  <si>
    <t>Industrial &amp; Other</t>
  </si>
  <si>
    <t>Food Chain: Small</t>
  </si>
  <si>
    <t>Food Chain: Medium</t>
  </si>
  <si>
    <t>Industrial &amp; Other: Small</t>
  </si>
  <si>
    <t>Food Chain: Large</t>
  </si>
  <si>
    <t>Comm. AC: Med</t>
  </si>
  <si>
    <t>Comm. AC: Large</t>
  </si>
  <si>
    <t>Industrial &amp; Other: Med</t>
  </si>
  <si>
    <t>Industrial &amp; Other: Large</t>
  </si>
  <si>
    <t>Large: 85% Commercial AC &amp; 7.5% Food, 7.5% Ind/Other</t>
  </si>
  <si>
    <t>Est. Av. Life (Yrs)</t>
  </si>
  <si>
    <t>Chillers &lt; 530 kW</t>
  </si>
  <si>
    <t>Chillers &gt; &amp; = 530 kW</t>
  </si>
  <si>
    <t>n.a.</t>
  </si>
  <si>
    <t>Chillers: Industrial App &amp; Other</t>
  </si>
  <si>
    <t>Food Chain kWh/a</t>
  </si>
  <si>
    <t>Industrial App &amp; Other kWh/a</t>
  </si>
  <si>
    <t>Survey Daikin, Fujitsu, etc. % of Commercial AC to domestic on WHS Systems &amp; Split Sytems.</t>
  </si>
  <si>
    <t>Air Conditioning Energy Calculations (kWh/a)</t>
  </si>
  <si>
    <t>Total = 8,480 to 9,156 GWh/a</t>
  </si>
  <si>
    <t>R134a/R404A/HC</t>
  </si>
  <si>
    <t>Ammonia/R22/R507C/R404A</t>
  </si>
  <si>
    <t>Ammonia/R22/R507C</t>
  </si>
  <si>
    <t>Domestic Appliances</t>
  </si>
  <si>
    <t>Ownership (Ratio of Existing Stockto the # Households)</t>
  </si>
  <si>
    <t>Large Reciprocating Compressors</t>
  </si>
  <si>
    <t>Screw (Ammonia)</t>
  </si>
  <si>
    <t>Compressors (AC &amp; Refrig) &amp; Refrig. Condensing Unit Data</t>
  </si>
  <si>
    <t>Split System Sales</t>
  </si>
  <si>
    <t>AC Calculation Sheet (Regional Splits/Existing Stock/Average Size)</t>
  </si>
  <si>
    <t>ABS Import Data</t>
  </si>
  <si>
    <t>Industry # 's for Evaporative coolers (annual sales, existing stock &amp; split by region).</t>
  </si>
  <si>
    <t>Effective operating time for Chillers for Commercial AC, Food Chain &amp; Industrial Applications (used in Energy Calculation).</t>
  </si>
  <si>
    <t>Seasonal operating times used for calculating domestic operating hours are based on data quoted on www.energyrating.gov.au calculator, originally sourced based on EES estimates &amp; ABS data (used in Energy Calculation for Domestic AC)</t>
  </si>
  <si>
    <t>Data gap in Industrial (Ammonia) Refrigeration, requires further investigation in this segment (nominated best estimate to complete analysis).</t>
  </si>
  <si>
    <t>Confirm data on self contained merchandising equipment &amp; complete energy calculation.</t>
  </si>
  <si>
    <t>Obtain further data on Pubs, Clubs, Pubs/Clubs/Convenience Stores/Take Away Food &amp; complete energy calculation (taking into account self contained merchandising equipment &amp; coolrooms).</t>
  </si>
  <si>
    <t>Areas of Improvement to Enhance Accuracy &amp; Fill Data Gaps</t>
  </si>
  <si>
    <t>NomimalGrowth (%)</t>
  </si>
  <si>
    <t>Consumer Spend          (Res &amp; LC)           Excl. GST</t>
  </si>
  <si>
    <t>Wholesale Value p.a.    Excl. GST</t>
  </si>
  <si>
    <t>Av. Man Hrs per Install (Res &amp; LC)</t>
  </si>
  <si>
    <t>Total Man Hrs to Install (Res &amp; LC)</t>
  </si>
  <si>
    <t>Quotations to confirm av. consumer prices for residential applications (used to calculate Consumer Spend).</t>
  </si>
  <si>
    <t>Energy Consumption &amp; Emissions by Segment</t>
  </si>
  <si>
    <t>Accelerate Retirement %</t>
  </si>
  <si>
    <t>9,470 GWh/a</t>
  </si>
  <si>
    <t>Total Energy Consumption Estimated at 19 to 20,000 GWh/a</t>
  </si>
  <si>
    <t>Chillers = 327 GWh/a</t>
  </si>
  <si>
    <t>Chillers = 237 GWh/a</t>
  </si>
  <si>
    <t>Industrial = 150 GWh/a</t>
  </si>
  <si>
    <t>Industrial = 206 GWh/a</t>
  </si>
  <si>
    <t>Total = 326 to 438 GWh/a</t>
  </si>
  <si>
    <t>Total = 455 to 651 GWh/a</t>
  </si>
  <si>
    <t>Cool Rooms = 118 GWh/a</t>
  </si>
  <si>
    <t>Total = 462 to 605 GWh/a</t>
  </si>
  <si>
    <t>Abattoirs &amp; Meat Processors</t>
  </si>
  <si>
    <t>Aquaculture</t>
  </si>
  <si>
    <t>Split systems includes ducted, cassette, console &amp; under ceiling</t>
  </si>
  <si>
    <t>More actual energy consumption data from Industry or Energy companies.</t>
  </si>
  <si>
    <t>AGO Factors and Methods Workbook, Department of the Environment and Heritage, December 2006</t>
  </si>
  <si>
    <t>Table 3: Fuel combustion emission factors (Transport Fuels)</t>
  </si>
  <si>
    <t>Fuel</t>
  </si>
  <si>
    <t>Energy content</t>
  </si>
  <si>
    <t>Emission factor for scope 1</t>
  </si>
  <si>
    <t>Emission factor for scope 3</t>
  </si>
  <si>
    <t>Full fuel cycle emission factor</t>
  </si>
  <si>
    <t>(direct / point source EF for combustion emissions</t>
  </si>
  <si>
    <t>(indirect EF for fuel extraction emissions)</t>
  </si>
  <si>
    <t>(= EF for scope 1 + scope 2)</t>
  </si>
  <si>
    <t>A</t>
  </si>
  <si>
    <t>B</t>
  </si>
  <si>
    <t>C</t>
  </si>
  <si>
    <t>D</t>
  </si>
  <si>
    <t>E</t>
  </si>
  <si>
    <t>F</t>
  </si>
  <si>
    <t>G</t>
  </si>
  <si>
    <t>GJ/kL</t>
  </si>
  <si>
    <t>kg CO2-e/GJ</t>
  </si>
  <si>
    <t>t CO2-e/kL</t>
  </si>
  <si>
    <t>Automotive gasoline</t>
  </si>
  <si>
    <t>(petrol)</t>
  </si>
  <si>
    <t>Automotive diesel oil</t>
  </si>
  <si>
    <t>(diesel)</t>
  </si>
  <si>
    <t>Aviation gasoline</t>
  </si>
  <si>
    <t>Aviation turbine</t>
  </si>
  <si>
    <t>Fuel oil</t>
  </si>
  <si>
    <t>LPG</t>
  </si>
  <si>
    <t>Biofuels a</t>
  </si>
  <si>
    <t>E-10 molasses</t>
  </si>
  <si>
    <t>E-10 wheat starch</t>
  </si>
  <si>
    <t>BD 100 (canola)</t>
  </si>
  <si>
    <t>BD100 (tallow)</t>
  </si>
  <si>
    <t>BD100 (waste oil)</t>
  </si>
  <si>
    <t>BD20 (canola)</t>
  </si>
  <si>
    <t>BD20 (tallow)</t>
  </si>
  <si>
    <t>BD20 (waste oil)</t>
  </si>
  <si>
    <t>GJ/m3</t>
  </si>
  <si>
    <t>t CO2-e/m3</t>
  </si>
  <si>
    <t>Natural gas b (LDV c)</t>
  </si>
  <si>
    <t>Natural gas b (HDV c)</t>
  </si>
  <si>
    <t>Notes: * All emission factors incorporate relevant oxidation factors (sourced from the AGO’s National Inventory Report).</t>
  </si>
  <si>
    <t>Respective Scope 1 CO2 factors are available from the AGO’s National Inventory Report.</t>
  </si>
  <si>
    <t>a AGO estimates, derived from ‘Appropriateness of a 350 Million Litre Biofuels Target’, December 2003, CSIRO, ABARE,</t>
  </si>
  <si>
    <t>BTRE. The emission factors reported here are default factors - to be used in the absence of better data on emissions that may</t>
  </si>
  <si>
    <t>result, for example, on actual production methods employed. b. The emission factors for natural gas engines are indicative</t>
  </si>
  <si>
    <t>only. From AGO experience with the Alternative Fuels Conversion Programme, the AGO has discovered that many natural gas</t>
  </si>
  <si>
    <t>engines, whether dual fuel or dedicated, emit significant amounts of unburnt fuel to the atmosphere. This level of methane is</t>
  </si>
  <si>
    <t>dependent on a range of factors and varies from system to system. An accurate emissions factor therefore requires measurement</t>
  </si>
  <si>
    <t>of at least CO2 and CH4 for each engine type. c. LDV stands for Light Duty Vehicles, e.g. forklifts, and HDV stands for Heavy</t>
  </si>
  <si>
    <t>Duty Vehicles, e.g. buses.</t>
  </si>
  <si>
    <t>Table 18: Emission factors for consumption of purchased electricity—for end users (not distributors)</t>
  </si>
  <si>
    <t>EF for  scope 2</t>
  </si>
  <si>
    <t>EF for  scope 3</t>
  </si>
  <si>
    <t>Full fuel cycle EF</t>
  </si>
  <si>
    <t>Direct / point source EF for combustion emissions</t>
  </si>
  <si>
    <t>Indirect EF for fuel extraction and line loss (T&amp;D) emissions</t>
  </si>
  <si>
    <t>(= EF for scope 2 + scope 3)</t>
  </si>
  <si>
    <t>kg CO2-e/</t>
  </si>
  <si>
    <t>kWh</t>
  </si>
  <si>
    <t>GJ</t>
  </si>
  <si>
    <t>WA (SWIS)</t>
  </si>
  <si>
    <t>Notes: a The emission factors should be applied to the amount of electricity actually consumed (i.e. the amount shown on the</t>
  </si>
  <si>
    <t>electricity bill). A technical explanation of the definitions and units of these factors are provided in the box on pages 14 and</t>
  </si>
  <si>
    <t>15. b kg CO2-e/GJ is the same as kt CO2-e/PJ and Gg CO2-e/PJ. Transmission and distribution network operators should</t>
  </si>
  <si>
    <t>use the EFs in Appendix 6.</t>
  </si>
  <si>
    <t>Table 23: Global Warming Potentials</t>
  </si>
  <si>
    <t>Gas</t>
  </si>
  <si>
    <t>Chemical formula</t>
  </si>
  <si>
    <t>IPCC 1996 Global</t>
  </si>
  <si>
    <t>Warming Potential</t>
  </si>
  <si>
    <t>Carbon dioxide</t>
  </si>
  <si>
    <t>CO2</t>
  </si>
  <si>
    <t>Methane</t>
  </si>
  <si>
    <t>CH4</t>
  </si>
  <si>
    <t>Nitrous oxide</t>
  </si>
  <si>
    <t>N2O</t>
  </si>
  <si>
    <t>Hydrofluorocarbons HFCs</t>
  </si>
  <si>
    <t>HFC-23</t>
  </si>
  <si>
    <t>CHF3</t>
  </si>
  <si>
    <t>HFC-32</t>
  </si>
  <si>
    <t>CH2F2</t>
  </si>
  <si>
    <t>HFC-41</t>
  </si>
  <si>
    <t>CH3F</t>
  </si>
  <si>
    <t>HFC-43-10mee</t>
  </si>
  <si>
    <t>C5H2F10</t>
  </si>
  <si>
    <t>HFC-125</t>
  </si>
  <si>
    <t>C2HF5</t>
  </si>
  <si>
    <t>HFC-134</t>
  </si>
  <si>
    <t>C2H2F4 (CHF2CHF2)</t>
  </si>
  <si>
    <t>HFC-134a</t>
  </si>
  <si>
    <t>C2H2F4 (CH2FCF3)</t>
  </si>
  <si>
    <t>HFC-143</t>
  </si>
  <si>
    <t>C2H3F3 (CHF2CH2F)</t>
  </si>
  <si>
    <t>HFC-143a</t>
  </si>
  <si>
    <t>C2H3F3 (CF3CH3)</t>
  </si>
  <si>
    <t>HFC-152a</t>
  </si>
  <si>
    <t>C2H4F2 (CH3CHF2)</t>
  </si>
  <si>
    <t>HFC-227ea</t>
  </si>
  <si>
    <t>C3HF7</t>
  </si>
  <si>
    <t>HFC-236fa</t>
  </si>
  <si>
    <t>C3H2F6</t>
  </si>
  <si>
    <t>HFC-245ca</t>
  </si>
  <si>
    <t>C3H3F5</t>
  </si>
  <si>
    <t>Hydrofluoroethers (HFEs)</t>
  </si>
  <si>
    <t>HFE-7100</t>
  </si>
  <si>
    <t>C4F9OCH3</t>
  </si>
  <si>
    <t>HFE-7200</t>
  </si>
  <si>
    <t>C4F9OC2H5</t>
  </si>
  <si>
    <t>Perfluorocarbons PFCs</t>
  </si>
  <si>
    <t>Perfluoromethane (tetrafluoromethane)</t>
  </si>
  <si>
    <t>CF4</t>
  </si>
  <si>
    <t>Perfluoroethane (hexafluoroethane)</t>
  </si>
  <si>
    <t>C2F6</t>
  </si>
  <si>
    <t>Perfluoropropane</t>
  </si>
  <si>
    <t>C3F8</t>
  </si>
  <si>
    <t>Perfluorobutane</t>
  </si>
  <si>
    <t>C4F10</t>
  </si>
  <si>
    <t>Perfluorocyclobutane</t>
  </si>
  <si>
    <t>c-C4F8</t>
  </si>
  <si>
    <t>Perfluoropentane</t>
  </si>
  <si>
    <t>C5F12</t>
  </si>
  <si>
    <t>Perfluorohexane</t>
  </si>
  <si>
    <t>C6F14</t>
  </si>
  <si>
    <t>Sulphur hexafluoride</t>
  </si>
  <si>
    <t>SF6</t>
  </si>
  <si>
    <t>Indirect gases</t>
  </si>
  <si>
    <t>Carbon monoxide</t>
  </si>
  <si>
    <t>CO</t>
  </si>
  <si>
    <t>not applicable</t>
  </si>
  <si>
    <t>Oxides of nitrogen</t>
  </si>
  <si>
    <t>NOx</t>
  </si>
  <si>
    <t>Non-methane volatile organic compounds</t>
  </si>
  <si>
    <t>various</t>
  </si>
  <si>
    <t>(NMVOCs)</t>
  </si>
  <si>
    <t>Fuel combustion (scope 1) and/or electricity (scope 2) emissions Mt CO2-e pa</t>
  </si>
  <si>
    <t>No of vehicles 2005</t>
  </si>
  <si>
    <t>annual distance 2005</t>
  </si>
  <si>
    <r>
      <t>t CO</t>
    </r>
    <r>
      <rPr>
        <vertAlign val="subscript"/>
        <sz val="10"/>
        <rFont val="Arial Narrow"/>
        <family val="2"/>
      </rPr>
      <t>2</t>
    </r>
    <r>
      <rPr>
        <sz val="10"/>
        <rFont val="Arial Narrow"/>
        <family val="2"/>
      </rPr>
      <t>-e pa fuel combustion</t>
    </r>
  </si>
  <si>
    <t>New vehicle  HFC-134a charge (kg)</t>
  </si>
  <si>
    <t>Av HFC-134a charge in use (kg)</t>
  </si>
  <si>
    <r>
      <t>tCO</t>
    </r>
    <r>
      <rPr>
        <vertAlign val="subscript"/>
        <sz val="10"/>
        <rFont val="Arial Narrow"/>
        <family val="2"/>
      </rPr>
      <t>2</t>
    </r>
    <r>
      <rPr>
        <sz val="10"/>
        <rFont val="Arial Narrow"/>
        <family val="2"/>
      </rPr>
      <t>-e pa refrigerant leakage</t>
    </r>
  </si>
  <si>
    <t>million</t>
  </si>
  <si>
    <t>mill km</t>
  </si>
  <si>
    <t>petrol</t>
  </si>
  <si>
    <t>n/a</t>
  </si>
  <si>
    <t>Majority passenger vehicle use is within urban areas</t>
  </si>
  <si>
    <t>diesel</t>
  </si>
  <si>
    <t>Av fuel con increase for cars with A/C</t>
  </si>
  <si>
    <t>LPG/CNG</t>
  </si>
  <si>
    <t>Av fuel con increase for rigid trucks with A/C</t>
  </si>
  <si>
    <t>L/100km</t>
  </si>
  <si>
    <t>Av fuel con increase for artic trucks with A/C</t>
  </si>
  <si>
    <t>Mobile aircon refrigerant loss</t>
  </si>
  <si>
    <t>pa</t>
  </si>
  <si>
    <t>Rigid trucks - diesel</t>
  </si>
  <si>
    <t>Assumes all HFC-134a</t>
  </si>
  <si>
    <t>Articulated trucks - diesel</t>
  </si>
  <si>
    <t>Non freight trucks - diesel</t>
  </si>
  <si>
    <t xml:space="preserve">Buses - diesel </t>
  </si>
  <si>
    <t>Motorcycles - petrol</t>
  </si>
  <si>
    <t>Total av % Fuel Consumed Due to A/C =</t>
  </si>
  <si>
    <t>Total Energy Consumption in GWh/pa and GHG Mt CO2-e pa</t>
  </si>
  <si>
    <t xml:space="preserve">Note: Expand Tabs on left hand of screen for detail. </t>
  </si>
  <si>
    <t>Data highlighted in blue throughout spread-sheet could benefit from further investigation to improve accuracy of estimates.</t>
  </si>
  <si>
    <r>
      <t>Ammonia: kWhs/pa per m</t>
    </r>
    <r>
      <rPr>
        <vertAlign val="superscript"/>
        <sz val="10"/>
        <rFont val="Arial"/>
        <family val="2"/>
      </rPr>
      <t>3</t>
    </r>
  </si>
  <si>
    <r>
      <t>R22: kWhs/pa per m</t>
    </r>
    <r>
      <rPr>
        <vertAlign val="superscript"/>
        <sz val="10"/>
        <rFont val="Arial"/>
        <family val="2"/>
      </rPr>
      <t>3</t>
    </r>
  </si>
  <si>
    <r>
      <t>Total Million m</t>
    </r>
    <r>
      <rPr>
        <vertAlign val="superscript"/>
        <sz val="10"/>
        <rFont val="Arial"/>
        <family val="2"/>
      </rPr>
      <t>3</t>
    </r>
  </si>
  <si>
    <t>Public Cold Storage Capacity</t>
  </si>
  <si>
    <r>
      <t>Refrigerated Capacity Million m</t>
    </r>
    <r>
      <rPr>
        <b/>
        <vertAlign val="superscript"/>
        <sz val="10"/>
        <rFont val="Arial"/>
        <family val="2"/>
      </rPr>
      <t>3</t>
    </r>
  </si>
  <si>
    <t>Others commercially available*</t>
  </si>
  <si>
    <t>Convenience Store</t>
  </si>
  <si>
    <t>Air Conditioning: Domestic</t>
  </si>
  <si>
    <t>Stock of Refrigerators and Freezers*</t>
  </si>
  <si>
    <t>Sales for replacements</t>
  </si>
  <si>
    <t>Replacement rate (10yr av life)</t>
  </si>
  <si>
    <t>Total Dwellings approved 04-05^</t>
  </si>
  <si>
    <t>Sales for new Dwelling (at national average)</t>
  </si>
  <si>
    <t>National average per Household</t>
  </si>
  <si>
    <t>Estimate total sales 2006</t>
  </si>
  <si>
    <t>Average Value</t>
  </si>
  <si>
    <t>Total Purchases 2006</t>
  </si>
  <si>
    <t>Economic Activity By Segment, 2006</t>
  </si>
  <si>
    <t>Installed cost of airconditioning equipment (exluding gas ducted heating) Exl GST</t>
  </si>
  <si>
    <t>Estimated Expenditure on Domestic Refrigerators and Freezers</t>
  </si>
  <si>
    <t>Employment</t>
  </si>
  <si>
    <t>Expenditure</t>
  </si>
  <si>
    <t>HVAC in non-residential Buildings</t>
  </si>
  <si>
    <t>Domestic Refrigerators and Freezers</t>
  </si>
  <si>
    <t>Domestic and Small Commercial Airconditioning</t>
  </si>
  <si>
    <t>Total Installed Chillers</t>
  </si>
  <si>
    <t>Volume of Cold Storage</t>
  </si>
  <si>
    <r>
      <t>9,460,000 m</t>
    </r>
    <r>
      <rPr>
        <vertAlign val="superscript"/>
        <sz val="10"/>
        <rFont val="Arial"/>
        <family val="2"/>
      </rPr>
      <t>3</t>
    </r>
  </si>
  <si>
    <t>Farm, Catering and Shop Coolrooms</t>
  </si>
  <si>
    <t>Estimates of Installed Base of Various  Machinery by Segment, 2006</t>
  </si>
  <si>
    <t>Number of Supermarket Cold Store installations</t>
  </si>
  <si>
    <t>Self Contained Commercial Refrigeration Equipment</t>
  </si>
  <si>
    <t>Refrigerated Vehicles</t>
  </si>
  <si>
    <t>Passenger Vehicles with Airconditioning</t>
  </si>
  <si>
    <t>&gt;95,000</t>
  </si>
  <si>
    <t>~5620</t>
  </si>
  <si>
    <t>Drivers of Refrigerated Transport</t>
  </si>
  <si>
    <t>~16,400</t>
  </si>
  <si>
    <t>Auto Air</t>
  </si>
  <si>
    <t>Wages for employees other than in HVAC for non-residential buildings</t>
  </si>
  <si>
    <t xml:space="preserve"> ~$7,100,000,000</t>
  </si>
  <si>
    <t xml:space="preserve">Bulk Gas Imports </t>
  </si>
  <si>
    <t>~</t>
  </si>
  <si>
    <t>TOTAL ESTIMATED DIRECT EMPLOYMENT</t>
  </si>
  <si>
    <t>~ 157,000</t>
  </si>
  <si>
    <t>Energy Spend (exluding non-residential HVAC)</t>
  </si>
  <si>
    <t>~ $1,248,160,000</t>
  </si>
  <si>
    <t>TOTAL ESTIMATED DIRECT SPENDING</t>
  </si>
  <si>
    <t>&gt; 24,000</t>
  </si>
  <si>
    <t>Domestic Air-conditioning</t>
  </si>
  <si>
    <t>&gt;15,990</t>
  </si>
  <si>
    <t>Check use of Assumptions</t>
  </si>
  <si>
    <t>MEPS 2000</t>
  </si>
  <si>
    <t>Weighted Av. kWh/a</t>
  </si>
  <si>
    <t>Total # Coolrooms =</t>
  </si>
  <si>
    <t>Confirms reasonable to use rule of thumb of 250 &amp; 300 W per m2, 80:20 Med:Low temp ratio, av. COP of 2.5 &amp; typical running hrs of 16 per day</t>
  </si>
  <si>
    <t>Total Energy Consumed kWh/a=</t>
  </si>
  <si>
    <t xml:space="preserve">Av. Energy Consumption kWh/a = </t>
  </si>
  <si>
    <t>Brand</t>
  </si>
  <si>
    <t>Model</t>
  </si>
  <si>
    <t>Nom. Cooling Capacity (kW)</t>
  </si>
  <si>
    <t>Type (Reverse Cycle)</t>
  </si>
  <si>
    <t>Refrig. Type</t>
  </si>
  <si>
    <t>Pre-Charge (g)</t>
  </si>
  <si>
    <t>Pre-Charge Length         (m)</t>
  </si>
  <si>
    <t>Additional Charge (g/m)</t>
  </si>
  <si>
    <t>Max Pipe Run (m) Length/Height</t>
  </si>
  <si>
    <t>Hitachi</t>
  </si>
  <si>
    <t>RAS-6H</t>
  </si>
  <si>
    <t>Inverter</t>
  </si>
  <si>
    <t>R410A</t>
  </si>
  <si>
    <t>RAS-140</t>
  </si>
  <si>
    <t>Const Spd</t>
  </si>
  <si>
    <t>R407C</t>
  </si>
  <si>
    <t>HP29-048</t>
  </si>
  <si>
    <t>RY140LUY1</t>
  </si>
  <si>
    <t>50/30</t>
  </si>
  <si>
    <t>RMXS140 &amp; 160</t>
  </si>
  <si>
    <t>14.0 &amp; 15.5</t>
  </si>
  <si>
    <t>Inverter - Multi</t>
  </si>
  <si>
    <t>Refrigerant Type</t>
  </si>
  <si>
    <t>Refrig. Ratio</t>
  </si>
  <si>
    <t>Av.Charge per Installed System</t>
  </si>
  <si>
    <t>Tons of Refrig</t>
  </si>
  <si>
    <t>Existing Stock =</t>
  </si>
  <si>
    <t>Assume ratio of installed base of refrigerants R22: R407C: R410 = 80:5:15</t>
  </si>
  <si>
    <t>Assume av. pipe length = 15m</t>
  </si>
  <si>
    <t>Average nominal cooling capacity of 15.0 kW</t>
  </si>
  <si>
    <t>LNC050C2</t>
  </si>
  <si>
    <t>LNC062C2</t>
  </si>
  <si>
    <t>RAS51CHA3</t>
  </si>
  <si>
    <t>15/5</t>
  </si>
  <si>
    <t>RAS63CHA4</t>
  </si>
  <si>
    <t>RY50GA</t>
  </si>
  <si>
    <t>30/15</t>
  </si>
  <si>
    <t>RY60GA</t>
  </si>
  <si>
    <t>LNE047V1</t>
  </si>
  <si>
    <t>RAS50YHA</t>
  </si>
  <si>
    <t>20/10</t>
  </si>
  <si>
    <t>RAS60YHA</t>
  </si>
  <si>
    <t>30/10</t>
  </si>
  <si>
    <t>Mitsubishi</t>
  </si>
  <si>
    <t>MSZ-A18YV</t>
  </si>
  <si>
    <t>MSZ-A24YV</t>
  </si>
  <si>
    <t>FTKSXS50</t>
  </si>
  <si>
    <t>30/20</t>
  </si>
  <si>
    <t>FTKSXS60</t>
  </si>
  <si>
    <t>Assume ratio of installed base of refrigerants R22: R410A = 75:25</t>
  </si>
  <si>
    <t>Assume av. pipe length = 5m</t>
  </si>
  <si>
    <t>Average nominal cooling capacity of 5.9 kW</t>
  </si>
  <si>
    <t>Window/Wall &amp; Portable</t>
  </si>
  <si>
    <t>LNC0503702201</t>
  </si>
  <si>
    <t>LNC0504802201</t>
  </si>
  <si>
    <t>MWH12KV</t>
  </si>
  <si>
    <t>EWJ18CRA</t>
  </si>
  <si>
    <t>LG</t>
  </si>
  <si>
    <t>LWG050AC-6</t>
  </si>
  <si>
    <t>LWC122RC-6</t>
  </si>
  <si>
    <t>LWM185RC-6</t>
  </si>
  <si>
    <t>Existing Stock (Window/Wall) =</t>
  </si>
  <si>
    <t>Existing Stock (Portable) =</t>
  </si>
  <si>
    <t>Existing Stock Equipment</t>
  </si>
  <si>
    <t>Existing Stock Refrigerant              (Res &amp; LC)         (Tons)</t>
  </si>
  <si>
    <t>~$3,201,494,000</t>
  </si>
  <si>
    <t>~ $15,957,938,061</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</si>
</sst>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0"/>
    <numFmt numFmtId="183" formatCode="#,##0.0"/>
    <numFmt numFmtId="184" formatCode="0.0000"/>
    <numFmt numFmtId="185" formatCode="0.000"/>
    <numFmt numFmtId="186" formatCode="0.0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quot;$&quot;#,##0"/>
    <numFmt numFmtId="194" formatCode="&quot;$&quot;#,##0.00"/>
    <numFmt numFmtId="195" formatCode="&quot;$&quot;#,##0.000"/>
    <numFmt numFmtId="196" formatCode="&quot;$&quot;#,##0.0"/>
    <numFmt numFmtId="197" formatCode="0.00000"/>
    <numFmt numFmtId="198" formatCode="0.0000000"/>
    <numFmt numFmtId="199" formatCode="0.000000"/>
    <numFmt numFmtId="200" formatCode="0.00000000"/>
    <numFmt numFmtId="201" formatCode="0_ ;[Red]\-0\ "/>
    <numFmt numFmtId="202" formatCode="&quot;$&quot;#,##0.0;\-&quot;$&quot;#,##0.0"/>
    <numFmt numFmtId="203" formatCode="_-&quot;$&quot;* #,##0.0_-;\-&quot;$&quot;* #,##0.0_-;_-&quot;$&quot;* &quot;-&quot;??_-;_-@_-"/>
    <numFmt numFmtId="204" formatCode="_-&quot;$&quot;* #,##0_-;\-&quot;$&quot;* #,##0_-;_-&quot;$&quot;* &quot;-&quot;??_-;_-@_-"/>
    <numFmt numFmtId="205" formatCode="_-&quot;$&quot;* #,##0.0_-;\-&quot;$&quot;* #,##0.0_-;_-&quot;$&quot;* &quot;-&quot;?_-;_-@_-"/>
    <numFmt numFmtId="206" formatCode="0.0000000000"/>
    <numFmt numFmtId="207" formatCode="0.000000000"/>
    <numFmt numFmtId="208" formatCode="#,##0_ ;\-#,##0\ "/>
  </numFmts>
  <fonts count="91">
    <font>
      <sz val="10"/>
      <name val="Arial"/>
      <family val="2"/>
    </font>
    <font>
      <b/>
      <sz val="10"/>
      <name val="Arial"/>
      <family val="2"/>
    </font>
    <font>
      <sz val="8"/>
      <name val="Times New Roman"/>
      <family val="1"/>
    </font>
    <font>
      <sz val="8"/>
      <name val="Arial"/>
      <family val="2"/>
    </font>
    <font>
      <i/>
      <sz val="7"/>
      <name val="Times New Roman"/>
      <family val="1"/>
    </font>
    <font>
      <i/>
      <sz val="8"/>
      <name val="Times New Roman"/>
      <family val="1"/>
    </font>
    <font>
      <sz val="10"/>
      <color indexed="12"/>
      <name val="Arial"/>
      <family val="2"/>
    </font>
    <font>
      <sz val="10"/>
      <name val="Helv"/>
      <family val="2"/>
    </font>
    <font>
      <sz val="10"/>
      <color indexed="8"/>
      <name val="Arial"/>
      <family val="2"/>
    </font>
    <font>
      <sz val="8"/>
      <name val="Tahoma"/>
      <family val="2"/>
    </font>
    <font>
      <b/>
      <sz val="12"/>
      <name val="Times New Roman"/>
      <family val="1"/>
    </font>
    <font>
      <b/>
      <sz val="12"/>
      <color indexed="12"/>
      <name val="Times New Roman Bold"/>
      <family val="1"/>
    </font>
    <font>
      <b/>
      <sz val="8"/>
      <name val="Tahoma"/>
      <family val="2"/>
    </font>
    <font>
      <u val="single"/>
      <sz val="10"/>
      <color indexed="12"/>
      <name val="Arial"/>
      <family val="2"/>
    </font>
    <font>
      <u val="single"/>
      <sz val="10"/>
      <color indexed="36"/>
      <name val="Arial"/>
      <family val="2"/>
    </font>
    <font>
      <i/>
      <sz val="8"/>
      <name val="Tahoma"/>
      <family val="2"/>
    </font>
    <font>
      <b/>
      <i/>
      <sz val="8"/>
      <name val="Tahoma"/>
      <family val="2"/>
    </font>
    <font>
      <vertAlign val="superscript"/>
      <sz val="8"/>
      <name val="Arial"/>
      <family val="2"/>
    </font>
    <font>
      <sz val="9"/>
      <name val="Arial"/>
      <family val="2"/>
    </font>
    <font>
      <sz val="10"/>
      <color indexed="10"/>
      <name val="Arial"/>
      <family val="2"/>
    </font>
    <font>
      <i/>
      <sz val="10"/>
      <name val="Arial"/>
      <family val="2"/>
    </font>
    <font>
      <b/>
      <sz val="12"/>
      <name val="Arial"/>
      <family val="2"/>
    </font>
    <font>
      <sz val="7"/>
      <name val="Times New Roman"/>
      <family val="1"/>
    </font>
    <font>
      <sz val="7"/>
      <name val="Arial Narrow"/>
      <family val="2"/>
    </font>
    <font>
      <sz val="12"/>
      <color indexed="54"/>
      <name val="Arial"/>
      <family val="2"/>
    </font>
    <font>
      <sz val="14"/>
      <name val="Arial"/>
      <family val="2"/>
    </font>
    <font>
      <sz val="16"/>
      <name val="Arial"/>
      <family val="2"/>
    </font>
    <font>
      <b/>
      <sz val="9"/>
      <name val="Arial"/>
      <family val="2"/>
    </font>
    <font>
      <vertAlign val="subscript"/>
      <sz val="10"/>
      <name val="Arial"/>
      <family val="2"/>
    </font>
    <font>
      <sz val="10"/>
      <color indexed="17"/>
      <name val="Arial"/>
      <family val="2"/>
    </font>
    <font>
      <vertAlign val="subscript"/>
      <sz val="8"/>
      <name val="Arial"/>
      <family val="2"/>
    </font>
    <font>
      <b/>
      <sz val="10"/>
      <color indexed="17"/>
      <name val="Arial"/>
      <family val="2"/>
    </font>
    <font>
      <sz val="8"/>
      <color indexed="12"/>
      <name val="Arial"/>
      <family val="2"/>
    </font>
    <font>
      <vertAlign val="superscript"/>
      <sz val="8"/>
      <name val="Tahoma"/>
      <family val="2"/>
    </font>
    <font>
      <sz val="12"/>
      <name val="Arial"/>
      <family val="2"/>
    </font>
    <font>
      <b/>
      <sz val="11"/>
      <name val="Arial"/>
      <family val="2"/>
    </font>
    <font>
      <sz val="10"/>
      <name val="Arial Narrow"/>
      <family val="2"/>
    </font>
    <font>
      <b/>
      <sz val="8"/>
      <name val="Arial"/>
      <family val="2"/>
    </font>
    <font>
      <sz val="10"/>
      <color indexed="14"/>
      <name val="Arial"/>
      <family val="2"/>
    </font>
    <font>
      <vertAlign val="subscript"/>
      <sz val="10"/>
      <name val="Arial Narrow"/>
      <family val="2"/>
    </font>
    <font>
      <sz val="10"/>
      <color indexed="23"/>
      <name val="Arial"/>
      <family val="2"/>
    </font>
    <font>
      <sz val="10"/>
      <color indexed="14"/>
      <name val="Arial Narrow"/>
      <family val="2"/>
    </font>
    <font>
      <sz val="10"/>
      <color indexed="23"/>
      <name val="Arial Narrow"/>
      <family val="2"/>
    </font>
    <font>
      <i/>
      <sz val="10"/>
      <color indexed="23"/>
      <name val="Arial"/>
      <family val="2"/>
    </font>
    <font>
      <sz val="10"/>
      <color indexed="8"/>
      <name val="Arial Narrow"/>
      <family val="2"/>
    </font>
    <font>
      <i/>
      <sz val="10"/>
      <color indexed="8"/>
      <name val="Arial"/>
      <family val="2"/>
    </font>
    <font>
      <sz val="8"/>
      <color indexed="14"/>
      <name val="Tahoma"/>
      <family val="2"/>
    </font>
    <font>
      <vertAlign val="superscript"/>
      <sz val="10"/>
      <name val="Arial"/>
      <family val="2"/>
    </font>
    <font>
      <b/>
      <vertAlign val="superscript"/>
      <sz val="10"/>
      <name val="Arial"/>
      <family val="2"/>
    </font>
    <font>
      <b/>
      <sz val="14"/>
      <name val="Arial"/>
      <family val="2"/>
    </font>
    <font>
      <sz val="10"/>
      <color indexed="19"/>
      <name val="Arial"/>
      <family val="2"/>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indexed="8"/>
      <name val="맑은 고딕"/>
      <family val="3"/>
    </font>
    <font>
      <b/>
      <sz val="10"/>
      <color indexed="8"/>
      <name val="Arial"/>
      <family val="2"/>
    </font>
    <font>
      <sz val="8"/>
      <color indexed="8"/>
      <name val="Arial"/>
      <family val="2"/>
    </font>
    <font>
      <vertAlign val="superscript"/>
      <sz val="10"/>
      <color indexed="8"/>
      <name val="Arial"/>
      <family val="2"/>
    </font>
    <font>
      <sz val="10"/>
      <color indexed="8"/>
      <name val="맑은 고딕"/>
      <family val="3"/>
    </font>
    <font>
      <sz val="10"/>
      <color indexed="55"/>
      <name val="Arial"/>
      <family val="2"/>
    </font>
    <font>
      <sz val="10"/>
      <color indexed="55"/>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double"/>
      <bottom>
        <color indexed="63"/>
      </bottom>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style="double"/>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 fillId="0" borderId="0">
      <alignment/>
      <protection/>
    </xf>
    <xf numFmtId="0" fontId="0" fillId="20" borderId="0">
      <alignment/>
      <protection/>
    </xf>
    <xf numFmtId="0" fontId="2" fillId="0" borderId="0">
      <alignment/>
      <protection/>
    </xf>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6" fillId="0" borderId="0" applyNumberFormat="0" applyFill="0" applyBorder="0" applyAlignment="0" applyProtection="0"/>
    <xf numFmtId="0" fontId="77" fillId="27" borderId="1" applyNumberFormat="0" applyAlignment="0" applyProtection="0"/>
    <xf numFmtId="0" fontId="78" fillId="28" borderId="0" applyNumberFormat="0" applyBorder="0" applyAlignment="0" applyProtection="0"/>
    <xf numFmtId="0" fontId="0" fillId="29" borderId="2" applyNumberFormat="0" applyFont="0" applyAlignment="0" applyProtection="0"/>
    <xf numFmtId="9" fontId="0" fillId="0" borderId="0" applyFon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81" fillId="3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2" fillId="0" borderId="4" applyNumberFormat="0" applyFill="0" applyAlignment="0" applyProtection="0"/>
    <xf numFmtId="0" fontId="14" fillId="0" borderId="0" applyNumberFormat="0" applyFill="0" applyBorder="0" applyAlignment="0" applyProtection="0"/>
    <xf numFmtId="0" fontId="83" fillId="0" borderId="5" applyNumberFormat="0" applyFill="0" applyAlignment="0" applyProtection="0"/>
    <xf numFmtId="0" fontId="84" fillId="32" borderId="1" applyNumberFormat="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8" fillId="0" borderId="0" applyNumberFormat="0" applyFill="0" applyBorder="0" applyAlignment="0" applyProtection="0"/>
    <xf numFmtId="0" fontId="89" fillId="33" borderId="0" applyNumberFormat="0" applyBorder="0" applyAlignment="0" applyProtection="0"/>
    <xf numFmtId="0" fontId="90" fillId="27" borderId="9"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0" fontId="13" fillId="0" borderId="0" applyNumberFormat="0" applyFill="0" applyBorder="0" applyAlignment="0" applyProtection="0"/>
  </cellStyleXfs>
  <cellXfs count="483">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182" fontId="0" fillId="0" borderId="0" xfId="0" applyNumberFormat="1" applyAlignment="1">
      <alignment horizontal="center"/>
    </xf>
    <xf numFmtId="1" fontId="0" fillId="0" borderId="0" xfId="0" applyNumberFormat="1" applyAlignment="1">
      <alignment horizontal="center"/>
    </xf>
    <xf numFmtId="0" fontId="2" fillId="0" borderId="10" xfId="35" applyFont="1" applyBorder="1" applyAlignment="1">
      <alignment vertical="center"/>
      <protection/>
    </xf>
    <xf numFmtId="0" fontId="4" fillId="0" borderId="10" xfId="35" applyFont="1" applyBorder="1" applyAlignment="1">
      <alignment horizontal="right" vertical="center"/>
      <protection/>
    </xf>
    <xf numFmtId="0" fontId="0" fillId="0" borderId="10" xfId="0" applyBorder="1" applyAlignment="1">
      <alignment/>
    </xf>
    <xf numFmtId="0" fontId="5" fillId="0" borderId="10" xfId="35" applyFont="1" applyBorder="1" applyAlignment="1">
      <alignment horizontal="right" vertical="center"/>
      <protection/>
    </xf>
    <xf numFmtId="9" fontId="0" fillId="0" borderId="0" xfId="46" applyFont="1" applyAlignment="1">
      <alignment horizontal="center"/>
    </xf>
    <xf numFmtId="0" fontId="0" fillId="0" borderId="0" xfId="0" applyFont="1" applyAlignment="1">
      <alignment horizontal="center" vertical="center" wrapText="1"/>
    </xf>
    <xf numFmtId="9" fontId="0" fillId="0" borderId="0" xfId="46" applyAlignment="1">
      <alignment horizontal="center"/>
    </xf>
    <xf numFmtId="0" fontId="2" fillId="20" borderId="10" xfId="34" applyFont="1" applyBorder="1" applyAlignment="1">
      <alignment vertical="center"/>
      <protection/>
    </xf>
    <xf numFmtId="0" fontId="5" fillId="20" borderId="10" xfId="34" applyFont="1" applyBorder="1" applyAlignment="1">
      <alignment horizontal="right" vertical="center"/>
      <protection/>
    </xf>
    <xf numFmtId="3" fontId="2" fillId="0" borderId="10" xfId="34" applyNumberFormat="1" applyFont="1" applyFill="1" applyBorder="1" applyAlignment="1">
      <alignment horizontal="right" vertical="center"/>
      <protection/>
    </xf>
    <xf numFmtId="0" fontId="5" fillId="20" borderId="10" xfId="34" applyFont="1" applyBorder="1" applyAlignment="1">
      <alignment vertical="center"/>
      <protection/>
    </xf>
    <xf numFmtId="182" fontId="0"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0" fontId="0" fillId="0" borderId="0" xfId="0" applyFont="1" applyAlignment="1">
      <alignment/>
    </xf>
    <xf numFmtId="9" fontId="0" fillId="0" borderId="0" xfId="46" applyFont="1" applyAlignment="1">
      <alignment horizontal="center" vertical="center" wrapText="1"/>
    </xf>
    <xf numFmtId="9" fontId="0" fillId="0" borderId="0" xfId="0" applyNumberFormat="1" applyFont="1" applyAlignment="1">
      <alignment horizontal="center" vertical="center" wrapText="1"/>
    </xf>
    <xf numFmtId="9" fontId="0" fillId="0" borderId="0" xfId="0" applyNumberFormat="1" applyAlignment="1">
      <alignment horizontal="center"/>
    </xf>
    <xf numFmtId="9" fontId="6" fillId="0" borderId="0" xfId="0" applyNumberFormat="1" applyFont="1" applyAlignment="1">
      <alignment horizontal="center" vertical="center" wrapText="1"/>
    </xf>
    <xf numFmtId="0" fontId="0" fillId="0" borderId="0" xfId="0" applyFont="1" applyAlignment="1">
      <alignment horizontal="left" vertical="center" wrapText="1"/>
    </xf>
    <xf numFmtId="0" fontId="8" fillId="0" borderId="0" xfId="33" applyFont="1" applyFill="1" applyBorder="1" applyAlignment="1" quotePrefix="1">
      <alignment horizontal="left" vertical="center" wrapText="1" indent="1"/>
      <protection/>
    </xf>
    <xf numFmtId="0" fontId="8" fillId="0" borderId="0" xfId="33" applyFont="1" applyFill="1" applyBorder="1" applyAlignment="1">
      <alignment horizontal="left" vertical="center" wrapText="1" indent="1"/>
      <protection/>
    </xf>
    <xf numFmtId="187" fontId="0" fillId="0" borderId="0" xfId="0" applyNumberFormat="1" applyAlignment="1">
      <alignment horizontal="center"/>
    </xf>
    <xf numFmtId="3" fontId="0"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3" fontId="0" fillId="0" borderId="0" xfId="0" applyNumberFormat="1" applyAlignment="1">
      <alignment horizontal="center"/>
    </xf>
    <xf numFmtId="3" fontId="0" fillId="0" borderId="0" xfId="0" applyNumberFormat="1" applyAlignment="1">
      <alignment/>
    </xf>
    <xf numFmtId="3" fontId="0" fillId="0" borderId="0" xfId="46" applyNumberFormat="1" applyFont="1" applyAlignment="1">
      <alignment horizontal="center"/>
    </xf>
    <xf numFmtId="0" fontId="0" fillId="0" borderId="0" xfId="0" applyFont="1" applyAlignment="1">
      <alignment horizontal="left" vertical="center" wrapText="1" inden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0" fillId="0" borderId="0" xfId="0" applyFont="1" applyAlignment="1">
      <alignment horizontal="left" indent="4"/>
    </xf>
    <xf numFmtId="0" fontId="10" fillId="0" borderId="0" xfId="0" applyFont="1" applyAlignment="1">
      <alignment horizontal="left" indent="8"/>
    </xf>
    <xf numFmtId="0" fontId="11" fillId="0" borderId="0" xfId="0" applyFont="1" applyAlignment="1">
      <alignment horizontal="left" indent="8"/>
    </xf>
    <xf numFmtId="0" fontId="1" fillId="0" borderId="11" xfId="0" applyFont="1" applyBorder="1" applyAlignment="1">
      <alignment/>
    </xf>
    <xf numFmtId="0" fontId="0" fillId="0" borderId="0" xfId="0" applyAlignment="1">
      <alignment horizontal="left"/>
    </xf>
    <xf numFmtId="187" fontId="0" fillId="0" borderId="0" xfId="46" applyNumberFormat="1" applyFont="1" applyAlignment="1">
      <alignment horizontal="center"/>
    </xf>
    <xf numFmtId="3" fontId="6" fillId="0" borderId="0" xfId="0" applyNumberFormat="1" applyFont="1" applyAlignment="1">
      <alignment horizontal="center"/>
    </xf>
    <xf numFmtId="9" fontId="6" fillId="0" borderId="0" xfId="46" applyFont="1" applyAlignment="1">
      <alignment horizontal="center"/>
    </xf>
    <xf numFmtId="0" fontId="1" fillId="0" borderId="0" xfId="0" applyFont="1" applyAlignment="1">
      <alignment horizontal="left" vertical="center" wrapText="1"/>
    </xf>
    <xf numFmtId="0" fontId="0" fillId="0" borderId="0" xfId="0" applyAlignment="1">
      <alignment horizontal="left" indent="1"/>
    </xf>
    <xf numFmtId="0" fontId="0" fillId="0" borderId="15" xfId="0" applyBorder="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0" fontId="15" fillId="34" borderId="16" xfId="35" applyFont="1" applyFill="1" applyBorder="1" applyAlignment="1">
      <alignment horizontal="center" vertical="center"/>
      <protection/>
    </xf>
    <xf numFmtId="0" fontId="15" fillId="34" borderId="17" xfId="35" applyFont="1" applyFill="1" applyBorder="1" applyAlignment="1">
      <alignment horizontal="center" vertical="center"/>
      <protection/>
    </xf>
    <xf numFmtId="0" fontId="15" fillId="34" borderId="18" xfId="35" applyFont="1" applyFill="1" applyBorder="1" applyAlignment="1">
      <alignment horizontal="center" vertical="center"/>
      <protection/>
    </xf>
    <xf numFmtId="0" fontId="15" fillId="34" borderId="19" xfId="35" applyFont="1" applyFill="1" applyBorder="1" applyAlignment="1">
      <alignment horizontal="center" vertical="center"/>
      <protection/>
    </xf>
    <xf numFmtId="0" fontId="15" fillId="34" borderId="20" xfId="35" applyFont="1" applyFill="1" applyBorder="1" applyAlignment="1">
      <alignment horizontal="center" vertical="center"/>
      <protection/>
    </xf>
    <xf numFmtId="0" fontId="16" fillId="34" borderId="12" xfId="35" applyFont="1" applyFill="1" applyBorder="1" applyAlignment="1">
      <alignment horizontal="center" vertical="center"/>
      <protection/>
    </xf>
    <xf numFmtId="9" fontId="0" fillId="0" borderId="0" xfId="46" applyFont="1" applyAlignment="1">
      <alignment horizontal="center"/>
    </xf>
    <xf numFmtId="3" fontId="0" fillId="0" borderId="0" xfId="0" applyNumberFormat="1" applyFont="1" applyAlignment="1">
      <alignment horizontal="center"/>
    </xf>
    <xf numFmtId="0" fontId="3" fillId="0" borderId="21" xfId="0" applyFont="1" applyBorder="1" applyAlignment="1">
      <alignment/>
    </xf>
    <xf numFmtId="0" fontId="3" fillId="0" borderId="0" xfId="0" applyFont="1" applyFill="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Alignment="1">
      <alignment/>
    </xf>
    <xf numFmtId="0" fontId="3" fillId="0" borderId="21" xfId="0" applyFont="1" applyFill="1" applyBorder="1" applyAlignment="1">
      <alignment/>
    </xf>
    <xf numFmtId="0" fontId="3" fillId="0" borderId="0"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18" xfId="0" applyFont="1" applyBorder="1" applyAlignment="1">
      <alignment/>
    </xf>
    <xf numFmtId="0" fontId="3" fillId="0" borderId="10" xfId="0" applyFont="1" applyBorder="1" applyAlignment="1">
      <alignment horizontal="center"/>
    </xf>
    <xf numFmtId="2" fontId="0" fillId="0" borderId="0" xfId="0" applyNumberFormat="1" applyAlignment="1">
      <alignment horizontal="center"/>
    </xf>
    <xf numFmtId="0" fontId="18" fillId="0" borderId="0" xfId="0" applyFont="1" applyAlignment="1">
      <alignment/>
    </xf>
    <xf numFmtId="3" fontId="19" fillId="0" borderId="0" xfId="0" applyNumberFormat="1" applyFont="1" applyAlignment="1">
      <alignment/>
    </xf>
    <xf numFmtId="3" fontId="19" fillId="0" borderId="0" xfId="0" applyNumberFormat="1" applyFont="1" applyAlignment="1">
      <alignment horizontal="center"/>
    </xf>
    <xf numFmtId="1" fontId="1" fillId="0" borderId="10" xfId="0" applyNumberFormat="1" applyFont="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horizontal="center"/>
    </xf>
    <xf numFmtId="0" fontId="0" fillId="0" borderId="10" xfId="0" applyBorder="1" applyAlignment="1">
      <alignment horizontal="center"/>
    </xf>
    <xf numFmtId="3" fontId="6" fillId="0" borderId="10" xfId="0" applyNumberFormat="1" applyFont="1" applyBorder="1" applyAlignment="1">
      <alignment horizontal="center"/>
    </xf>
    <xf numFmtId="3" fontId="0" fillId="0" borderId="0" xfId="0" applyNumberFormat="1" applyFont="1" applyAlignment="1">
      <alignment horizontal="center"/>
    </xf>
    <xf numFmtId="3" fontId="0" fillId="0" borderId="10" xfId="0" applyNumberFormat="1" applyBorder="1" applyAlignment="1">
      <alignment horizontal="center"/>
    </xf>
    <xf numFmtId="195" fontId="0" fillId="0" borderId="10" xfId="0" applyNumberFormat="1" applyBorder="1" applyAlignment="1">
      <alignment horizontal="center"/>
    </xf>
    <xf numFmtId="2" fontId="0" fillId="0" borderId="10" xfId="0" applyNumberFormat="1" applyBorder="1" applyAlignment="1">
      <alignment horizontal="center"/>
    </xf>
    <xf numFmtId="194" fontId="0" fillId="0" borderId="0" xfId="0" applyNumberFormat="1" applyAlignment="1">
      <alignment/>
    </xf>
    <xf numFmtId="0" fontId="0" fillId="0" borderId="0" xfId="0" applyBorder="1" applyAlignment="1">
      <alignment horizontal="center"/>
    </xf>
    <xf numFmtId="3" fontId="0" fillId="0" borderId="0" xfId="0" applyNumberFormat="1" applyBorder="1" applyAlignment="1">
      <alignment horizontal="center"/>
    </xf>
    <xf numFmtId="0" fontId="0" fillId="0" borderId="0" xfId="0" applyFont="1" applyAlignment="1">
      <alignment wrapText="1"/>
    </xf>
    <xf numFmtId="0" fontId="0" fillId="0" borderId="0" xfId="0" applyFont="1" applyAlignment="1">
      <alignment horizontal="right" wrapText="1"/>
    </xf>
    <xf numFmtId="0" fontId="1" fillId="0" borderId="0" xfId="0" applyFont="1" applyAlignment="1">
      <alignment horizontal="right" wrapText="1"/>
    </xf>
    <xf numFmtId="0" fontId="19" fillId="0" borderId="0" xfId="0" applyFont="1" applyAlignment="1">
      <alignment horizontal="right" wrapText="1"/>
    </xf>
    <xf numFmtId="3" fontId="0" fillId="0" borderId="0" xfId="0" applyNumberFormat="1" applyFont="1" applyAlignment="1">
      <alignment horizontal="right" wrapText="1"/>
    </xf>
    <xf numFmtId="3" fontId="1" fillId="0" borderId="0" xfId="0" applyNumberFormat="1" applyFont="1" applyAlignment="1">
      <alignment horizontal="right" wrapText="1"/>
    </xf>
    <xf numFmtId="0" fontId="1" fillId="0" borderId="10" xfId="0" applyFont="1" applyBorder="1" applyAlignment="1">
      <alignment horizontal="center" wrapText="1"/>
    </xf>
    <xf numFmtId="0" fontId="0" fillId="0" borderId="10" xfId="0" applyFont="1" applyBorder="1" applyAlignment="1">
      <alignment horizontal="center"/>
    </xf>
    <xf numFmtId="0" fontId="6" fillId="0" borderId="10" xfId="0" applyFont="1" applyBorder="1" applyAlignment="1">
      <alignment horizontal="center"/>
    </xf>
    <xf numFmtId="0" fontId="1" fillId="0" borderId="10" xfId="0" applyFont="1" applyBorder="1" applyAlignment="1">
      <alignment horizontal="left" wrapText="1"/>
    </xf>
    <xf numFmtId="0" fontId="21" fillId="0" borderId="0" xfId="0" applyFont="1" applyAlignment="1">
      <alignment/>
    </xf>
    <xf numFmtId="182" fontId="0" fillId="0" borderId="0" xfId="0" applyNumberFormat="1" applyAlignment="1">
      <alignment/>
    </xf>
    <xf numFmtId="0" fontId="1" fillId="0" borderId="10" xfId="0" applyFont="1" applyBorder="1" applyAlignment="1">
      <alignment vertical="center"/>
    </xf>
    <xf numFmtId="1" fontId="1" fillId="0" borderId="10" xfId="0" applyNumberFormat="1" applyFont="1" applyBorder="1" applyAlignment="1">
      <alignment horizontal="left" vertical="center" wrapText="1"/>
    </xf>
    <xf numFmtId="0" fontId="1" fillId="0" borderId="10" xfId="0" applyFont="1" applyBorder="1" applyAlignment="1">
      <alignment horizontal="center"/>
    </xf>
    <xf numFmtId="0" fontId="0" fillId="0" borderId="10" xfId="0" applyBorder="1" applyAlignment="1">
      <alignment horizontal="left"/>
    </xf>
    <xf numFmtId="0" fontId="1" fillId="0" borderId="10" xfId="0" applyFont="1" applyBorder="1" applyAlignment="1">
      <alignment/>
    </xf>
    <xf numFmtId="0" fontId="0" fillId="0" borderId="10" xfId="0" applyFont="1" applyBorder="1" applyAlignment="1">
      <alignment vertical="center" wrapText="1"/>
    </xf>
    <xf numFmtId="0" fontId="0" fillId="0" borderId="10" xfId="0" applyBorder="1" applyAlignment="1">
      <alignment/>
    </xf>
    <xf numFmtId="0" fontId="1" fillId="0" borderId="10" xfId="0" applyFont="1" applyBorder="1" applyAlignment="1">
      <alignment/>
    </xf>
    <xf numFmtId="9" fontId="1" fillId="0" borderId="10" xfId="46" applyFont="1" applyBorder="1" applyAlignment="1">
      <alignment horizontal="center"/>
    </xf>
    <xf numFmtId="3" fontId="1" fillId="0" borderId="10" xfId="0" applyNumberFormat="1" applyFont="1" applyBorder="1" applyAlignment="1">
      <alignment horizontal="center"/>
    </xf>
    <xf numFmtId="9" fontId="0" fillId="0" borderId="10" xfId="46" applyBorder="1" applyAlignment="1">
      <alignment horizontal="center"/>
    </xf>
    <xf numFmtId="0" fontId="0" fillId="0" borderId="10" xfId="0" applyFont="1" applyBorder="1" applyAlignment="1">
      <alignment/>
    </xf>
    <xf numFmtId="0" fontId="19" fillId="0" borderId="0" xfId="0" applyFont="1" applyAlignment="1">
      <alignment horizontal="center"/>
    </xf>
    <xf numFmtId="0" fontId="22" fillId="0" borderId="10" xfId="35" applyFont="1" applyBorder="1" applyAlignment="1">
      <alignment horizontal="right" vertical="center"/>
      <protection/>
    </xf>
    <xf numFmtId="3" fontId="1" fillId="0" borderId="0" xfId="0" applyNumberFormat="1" applyFont="1" applyAlignment="1">
      <alignment horizontal="center"/>
    </xf>
    <xf numFmtId="0" fontId="0" fillId="0" borderId="0" xfId="0" applyFont="1" applyAlignment="1">
      <alignment horizontal="center"/>
    </xf>
    <xf numFmtId="3" fontId="23" fillId="0" borderId="17" xfId="35" applyNumberFormat="1" applyFont="1" applyBorder="1" applyAlignment="1">
      <alignment horizontal="center" vertical="center"/>
      <protection/>
    </xf>
    <xf numFmtId="3" fontId="23" fillId="0" borderId="18" xfId="35" applyNumberFormat="1" applyFont="1" applyBorder="1" applyAlignment="1">
      <alignment horizontal="center" vertical="center"/>
      <protection/>
    </xf>
    <xf numFmtId="187" fontId="23" fillId="0" borderId="17" xfId="46" applyNumberFormat="1" applyFont="1" applyBorder="1" applyAlignment="1">
      <alignment horizontal="center" vertical="center"/>
    </xf>
    <xf numFmtId="3" fontId="23" fillId="0" borderId="16" xfId="35" applyNumberFormat="1" applyFont="1" applyBorder="1" applyAlignment="1">
      <alignment horizontal="center" vertical="center"/>
      <protection/>
    </xf>
    <xf numFmtId="3" fontId="22" fillId="0" borderId="10" xfId="35" applyNumberFormat="1" applyFont="1" applyBorder="1" applyAlignment="1">
      <alignment horizontal="right" vertical="center"/>
      <protection/>
    </xf>
    <xf numFmtId="3" fontId="0" fillId="0" borderId="10" xfId="0" applyNumberFormat="1" applyFont="1" applyBorder="1" applyAlignment="1">
      <alignment/>
    </xf>
    <xf numFmtId="0" fontId="0" fillId="0" borderId="10" xfId="0" applyFont="1" applyBorder="1" applyAlignment="1">
      <alignment/>
    </xf>
    <xf numFmtId="1" fontId="0" fillId="0" borderId="10" xfId="0" applyNumberFormat="1" applyFont="1" applyBorder="1" applyAlignment="1">
      <alignment/>
    </xf>
    <xf numFmtId="0" fontId="2" fillId="0" borderId="10" xfId="35" applyFont="1" applyBorder="1" applyAlignment="1">
      <alignment vertical="center"/>
      <protection/>
    </xf>
    <xf numFmtId="2" fontId="0" fillId="0" borderId="10" xfId="0" applyNumberFormat="1" applyFont="1" applyBorder="1" applyAlignment="1">
      <alignment/>
    </xf>
    <xf numFmtId="0" fontId="0" fillId="0" borderId="0" xfId="0" applyFont="1" applyAlignment="1">
      <alignment/>
    </xf>
    <xf numFmtId="3" fontId="22" fillId="0" borderId="10" xfId="35" applyNumberFormat="1" applyFont="1" applyFill="1" applyBorder="1" applyAlignment="1">
      <alignment horizontal="right" vertical="center"/>
      <protection/>
    </xf>
    <xf numFmtId="182" fontId="0" fillId="0" borderId="10" xfId="0" applyNumberFormat="1" applyFont="1" applyBorder="1" applyAlignment="1">
      <alignment/>
    </xf>
    <xf numFmtId="187" fontId="0" fillId="0" borderId="10" xfId="46" applyNumberFormat="1" applyFont="1" applyBorder="1" applyAlignment="1">
      <alignment horizontal="center"/>
    </xf>
    <xf numFmtId="0" fontId="0" fillId="0" borderId="10" xfId="0" applyFill="1" applyBorder="1" applyAlignment="1">
      <alignment/>
    </xf>
    <xf numFmtId="3" fontId="0" fillId="0" borderId="10" xfId="0" applyNumberFormat="1" applyBorder="1" applyAlignment="1">
      <alignment horizontal="center" wrapText="1"/>
    </xf>
    <xf numFmtId="9" fontId="0" fillId="0" borderId="10" xfId="46" applyFont="1" applyBorder="1" applyAlignment="1">
      <alignment horizontal="center" wrapText="1"/>
    </xf>
    <xf numFmtId="0" fontId="24" fillId="0" borderId="0" xfId="0" applyFont="1" applyAlignment="1">
      <alignment/>
    </xf>
    <xf numFmtId="0" fontId="0" fillId="0" borderId="10" xfId="0" applyBorder="1" applyAlignment="1">
      <alignment horizontal="center" vertical="center"/>
    </xf>
    <xf numFmtId="1" fontId="0" fillId="0" borderId="0" xfId="0" applyNumberFormat="1" applyAlignment="1">
      <alignment/>
    </xf>
    <xf numFmtId="0" fontId="1" fillId="0" borderId="23" xfId="0" applyFont="1" applyFill="1" applyBorder="1" applyAlignment="1">
      <alignment/>
    </xf>
    <xf numFmtId="182" fontId="0" fillId="0" borderId="10" xfId="0" applyNumberFormat="1" applyBorder="1" applyAlignment="1">
      <alignment horizontal="center"/>
    </xf>
    <xf numFmtId="182" fontId="6" fillId="0" borderId="0" xfId="0" applyNumberFormat="1" applyFont="1" applyAlignment="1">
      <alignment horizontal="center" vertical="center" wrapText="1"/>
    </xf>
    <xf numFmtId="182" fontId="0" fillId="0" borderId="0" xfId="0" applyNumberFormat="1" applyFont="1" applyAlignment="1">
      <alignment horizontal="center"/>
    </xf>
    <xf numFmtId="182" fontId="0" fillId="0" borderId="10" xfId="0" applyNumberFormat="1" applyFont="1" applyBorder="1" applyAlignment="1">
      <alignment horizontal="center"/>
    </xf>
    <xf numFmtId="0" fontId="0" fillId="0" borderId="10" xfId="0" applyFill="1" applyBorder="1" applyAlignment="1">
      <alignment horizontal="left"/>
    </xf>
    <xf numFmtId="9" fontId="0" fillId="0" borderId="10" xfId="0" applyNumberFormat="1" applyBorder="1" applyAlignment="1">
      <alignment horizontal="center"/>
    </xf>
    <xf numFmtId="0" fontId="0" fillId="0" borderId="10" xfId="0" applyFill="1" applyBorder="1" applyAlignment="1">
      <alignment horizontal="center"/>
    </xf>
    <xf numFmtId="0" fontId="6" fillId="0" borderId="10" xfId="0" applyFont="1" applyBorder="1" applyAlignment="1">
      <alignment horizontal="center"/>
    </xf>
    <xf numFmtId="0" fontId="0" fillId="0" borderId="10" xfId="0" applyBorder="1" applyAlignment="1">
      <alignment horizontal="left" vertical="center"/>
    </xf>
    <xf numFmtId="0" fontId="0" fillId="0" borderId="0" xfId="0" applyBorder="1" applyAlignment="1">
      <alignment/>
    </xf>
    <xf numFmtId="3" fontId="0" fillId="0" borderId="0" xfId="0" applyNumberFormat="1" applyBorder="1" applyAlignment="1">
      <alignment/>
    </xf>
    <xf numFmtId="187" fontId="0" fillId="0" borderId="10" xfId="46" applyNumberFormat="1" applyFont="1" applyBorder="1" applyAlignment="1">
      <alignment horizontal="center" wrapText="1"/>
    </xf>
    <xf numFmtId="0" fontId="6" fillId="0" borderId="10" xfId="0" applyFont="1" applyBorder="1" applyAlignment="1">
      <alignment/>
    </xf>
    <xf numFmtId="0" fontId="0" fillId="0" borderId="0" xfId="0" applyFill="1" applyBorder="1" applyAlignment="1">
      <alignment horizontal="left"/>
    </xf>
    <xf numFmtId="187" fontId="0" fillId="0" borderId="10" xfId="0" applyNumberFormat="1" applyBorder="1" applyAlignment="1">
      <alignment horizontal="center"/>
    </xf>
    <xf numFmtId="182" fontId="0" fillId="0" borderId="10" xfId="0" applyNumberFormat="1" applyBorder="1" applyAlignment="1">
      <alignment/>
    </xf>
    <xf numFmtId="9" fontId="0" fillId="0" borderId="0" xfId="0" applyNumberFormat="1" applyBorder="1" applyAlignment="1">
      <alignment horizontal="center"/>
    </xf>
    <xf numFmtId="0" fontId="0" fillId="0" borderId="0" xfId="0" applyFill="1" applyBorder="1" applyAlignment="1">
      <alignment horizontal="center"/>
    </xf>
    <xf numFmtId="182" fontId="0" fillId="0" borderId="10" xfId="0" applyNumberFormat="1" applyBorder="1" applyAlignment="1">
      <alignment horizontal="center" vertical="center"/>
    </xf>
    <xf numFmtId="0" fontId="1" fillId="0" borderId="10" xfId="0" applyFont="1" applyFill="1" applyBorder="1" applyAlignment="1">
      <alignment/>
    </xf>
    <xf numFmtId="9" fontId="0" fillId="0" borderId="0" xfId="46" applyFont="1" applyBorder="1" applyAlignment="1">
      <alignment horizontal="center"/>
    </xf>
    <xf numFmtId="9" fontId="0" fillId="0" borderId="10" xfId="46" applyFont="1" applyBorder="1" applyAlignment="1">
      <alignment horizontal="center"/>
    </xf>
    <xf numFmtId="9" fontId="0" fillId="0" borderId="10" xfId="46" applyFont="1" applyBorder="1" applyAlignment="1">
      <alignment horizontal="center"/>
    </xf>
    <xf numFmtId="0" fontId="1" fillId="0" borderId="0" xfId="0" applyFont="1" applyFill="1" applyBorder="1" applyAlignment="1">
      <alignment horizontal="left"/>
    </xf>
    <xf numFmtId="0" fontId="26"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indent="2"/>
    </xf>
    <xf numFmtId="0" fontId="0" fillId="0" borderId="0" xfId="0" applyFont="1" applyAlignment="1">
      <alignment horizontal="left" indent="1"/>
    </xf>
    <xf numFmtId="0" fontId="1" fillId="0" borderId="0" xfId="0" applyFont="1" applyAlignment="1">
      <alignment horizontal="left"/>
    </xf>
    <xf numFmtId="0" fontId="1" fillId="0" borderId="0" xfId="0" applyFont="1" applyAlignment="1">
      <alignment vertical="center"/>
    </xf>
    <xf numFmtId="0" fontId="26" fillId="0" borderId="0" xfId="0" applyFont="1" applyBorder="1" applyAlignment="1">
      <alignment/>
    </xf>
    <xf numFmtId="0" fontId="0" fillId="0" borderId="26" xfId="0" applyFont="1" applyBorder="1" applyAlignment="1">
      <alignment horizontal="center" wrapText="1"/>
    </xf>
    <xf numFmtId="0" fontId="0" fillId="0" borderId="27" xfId="0" applyFont="1" applyBorder="1" applyAlignment="1">
      <alignment horizontal="center"/>
    </xf>
    <xf numFmtId="0" fontId="0" fillId="0" borderId="27" xfId="0" applyFont="1" applyBorder="1" applyAlignment="1">
      <alignment horizontal="left"/>
    </xf>
    <xf numFmtId="0" fontId="0" fillId="0" borderId="0" xfId="0" applyFont="1" applyAlignment="1">
      <alignment/>
    </xf>
    <xf numFmtId="1" fontId="21" fillId="0" borderId="0" xfId="0" applyNumberFormat="1" applyFont="1" applyBorder="1" applyAlignment="1">
      <alignment horizontal="left" vertical="top"/>
    </xf>
    <xf numFmtId="0" fontId="0" fillId="0" borderId="28" xfId="0" applyBorder="1" applyAlignment="1">
      <alignment wrapText="1"/>
    </xf>
    <xf numFmtId="0" fontId="0" fillId="0" borderId="28" xfId="0" applyBorder="1" applyAlignment="1">
      <alignment horizontal="center" wrapText="1"/>
    </xf>
    <xf numFmtId="0" fontId="0" fillId="0" borderId="28" xfId="0" applyBorder="1" applyAlignment="1">
      <alignment/>
    </xf>
    <xf numFmtId="3" fontId="0" fillId="0" borderId="28" xfId="0" applyNumberFormat="1" applyBorder="1" applyAlignment="1">
      <alignment horizontal="center"/>
    </xf>
    <xf numFmtId="0" fontId="0" fillId="0" borderId="29" xfId="0" applyBorder="1" applyAlignment="1">
      <alignment horizontal="center" wrapText="1"/>
    </xf>
    <xf numFmtId="0" fontId="21" fillId="0" borderId="0" xfId="0" applyFont="1" applyBorder="1" applyAlignment="1">
      <alignment/>
    </xf>
    <xf numFmtId="0" fontId="0" fillId="0" borderId="0" xfId="0" applyBorder="1" applyAlignment="1">
      <alignment wrapText="1"/>
    </xf>
    <xf numFmtId="0" fontId="20" fillId="0" borderId="0" xfId="0" applyFont="1" applyAlignment="1">
      <alignment horizontal="left" indent="1"/>
    </xf>
    <xf numFmtId="3" fontId="20" fillId="0" borderId="0" xfId="0" applyNumberFormat="1" applyFont="1" applyAlignment="1">
      <alignment horizontal="center"/>
    </xf>
    <xf numFmtId="0" fontId="20" fillId="0" borderId="0" xfId="0" applyFont="1" applyAlignment="1">
      <alignment horizontal="center"/>
    </xf>
    <xf numFmtId="0" fontId="20" fillId="0" borderId="0" xfId="0" applyFont="1" applyAlignment="1">
      <alignment/>
    </xf>
    <xf numFmtId="0" fontId="0" fillId="0" borderId="28" xfId="0" applyBorder="1" applyAlignment="1">
      <alignment horizontal="left" indent="1"/>
    </xf>
    <xf numFmtId="0" fontId="21" fillId="0" borderId="0" xfId="0" applyFont="1" applyAlignment="1" applyProtection="1">
      <alignment horizontal="left" vertical="top"/>
      <protection hidden="1"/>
    </xf>
    <xf numFmtId="0" fontId="21" fillId="0" borderId="0" xfId="0" applyFont="1" applyAlignment="1" applyProtection="1">
      <alignment vertical="top"/>
      <protection hidden="1"/>
    </xf>
    <xf numFmtId="0" fontId="0" fillId="0" borderId="28" xfId="0" applyFont="1" applyBorder="1" applyAlignment="1">
      <alignment/>
    </xf>
    <xf numFmtId="0" fontId="0" fillId="0" borderId="28" xfId="0" applyFont="1" applyBorder="1" applyAlignment="1">
      <alignment horizontal="right"/>
    </xf>
    <xf numFmtId="0" fontId="0" fillId="0" borderId="28" xfId="0" applyFont="1" applyFill="1" applyBorder="1" applyAlignment="1">
      <alignment horizontal="right"/>
    </xf>
    <xf numFmtId="0" fontId="18" fillId="0" borderId="0" xfId="0" applyFont="1" applyAlignment="1">
      <alignment horizontal="left"/>
    </xf>
    <xf numFmtId="182" fontId="18" fillId="0" borderId="0" xfId="0" applyNumberFormat="1" applyFont="1" applyFill="1" applyBorder="1" applyAlignment="1" applyProtection="1">
      <alignment horizontal="right" vertical="top"/>
      <protection/>
    </xf>
    <xf numFmtId="182" fontId="18" fillId="0" borderId="0" xfId="0" applyNumberFormat="1" applyFont="1" applyAlignment="1">
      <alignment horizontal="right" vertical="top"/>
    </xf>
    <xf numFmtId="183" fontId="0" fillId="0" borderId="0" xfId="0" applyNumberFormat="1" applyAlignment="1">
      <alignment horizontal="right"/>
    </xf>
    <xf numFmtId="0" fontId="18" fillId="0" borderId="0" xfId="0" applyFont="1" applyAlignment="1">
      <alignment horizontal="right"/>
    </xf>
    <xf numFmtId="182" fontId="18" fillId="0" borderId="0" xfId="0" applyNumberFormat="1" applyFont="1" applyFill="1" applyAlignment="1">
      <alignment horizontal="right" vertical="top"/>
    </xf>
    <xf numFmtId="3" fontId="18" fillId="0" borderId="0" xfId="0" applyNumberFormat="1" applyFont="1" applyAlignment="1">
      <alignment horizontal="right"/>
    </xf>
    <xf numFmtId="1" fontId="27" fillId="0" borderId="0" xfId="0" applyNumberFormat="1" applyFont="1" applyAlignment="1">
      <alignment horizontal="left"/>
    </xf>
    <xf numFmtId="0" fontId="18" fillId="0" borderId="0" xfId="0" applyFont="1" applyBorder="1" applyAlignment="1">
      <alignment horizontal="left"/>
    </xf>
    <xf numFmtId="0" fontId="0" fillId="0" borderId="28" xfId="0" applyBorder="1" applyAlignment="1">
      <alignment horizontal="center" vertical="center"/>
    </xf>
    <xf numFmtId="0" fontId="0" fillId="0" borderId="10" xfId="0" applyBorder="1" applyAlignment="1" quotePrefix="1">
      <alignment horizontal="center"/>
    </xf>
    <xf numFmtId="3" fontId="0" fillId="0" borderId="10" xfId="0" applyNumberFormat="1" applyBorder="1" applyAlignment="1" quotePrefix="1">
      <alignment horizontal="center"/>
    </xf>
    <xf numFmtId="183" fontId="0" fillId="0" borderId="10" xfId="0" applyNumberFormat="1" applyBorder="1" applyAlignment="1">
      <alignment horizontal="center"/>
    </xf>
    <xf numFmtId="0" fontId="0" fillId="0" borderId="10" xfId="0" applyFont="1" applyFill="1" applyBorder="1" applyAlignment="1">
      <alignment/>
    </xf>
    <xf numFmtId="0" fontId="6" fillId="0" borderId="10" xfId="0" applyFont="1" applyFill="1" applyBorder="1" applyAlignment="1">
      <alignment/>
    </xf>
    <xf numFmtId="0" fontId="6" fillId="0" borderId="0" xfId="0" applyFont="1" applyAlignment="1">
      <alignment/>
    </xf>
    <xf numFmtId="0" fontId="0" fillId="0" borderId="10" xfId="0" applyBorder="1" applyAlignment="1">
      <alignment horizontal="center" vertical="center" wrapText="1"/>
    </xf>
    <xf numFmtId="0" fontId="0" fillId="0" borderId="13" xfId="0" applyBorder="1" applyAlignment="1">
      <alignment horizontal="center" vertical="center"/>
    </xf>
    <xf numFmtId="187" fontId="0" fillId="0" borderId="0" xfId="46" applyNumberFormat="1" applyFont="1" applyAlignment="1">
      <alignment horizontal="center"/>
    </xf>
    <xf numFmtId="0" fontId="20" fillId="0" borderId="0" xfId="0" applyFont="1" applyAlignment="1">
      <alignment horizontal="left" indent="2"/>
    </xf>
    <xf numFmtId="187" fontId="0" fillId="0" borderId="14" xfId="46" applyNumberFormat="1" applyFont="1" applyBorder="1" applyAlignment="1">
      <alignment horizontal="center"/>
    </xf>
    <xf numFmtId="187" fontId="0" fillId="0" borderId="0" xfId="46" applyNumberFormat="1" applyFont="1" applyBorder="1" applyAlignment="1">
      <alignment horizontal="center"/>
    </xf>
    <xf numFmtId="187" fontId="0" fillId="0" borderId="0" xfId="46" applyNumberFormat="1" applyFont="1" applyBorder="1" applyAlignment="1">
      <alignment horizontal="center"/>
    </xf>
    <xf numFmtId="0" fontId="1" fillId="0" borderId="0" xfId="0" applyFont="1" applyAlignment="1">
      <alignment horizontal="center" vertical="center"/>
    </xf>
    <xf numFmtId="10" fontId="0" fillId="0" borderId="0" xfId="46" applyNumberFormat="1" applyFont="1" applyAlignment="1">
      <alignment horizontal="center"/>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28" xfId="0" applyFont="1" applyBorder="1" applyAlignment="1">
      <alignment horizontal="left" vertical="center" wrapText="1"/>
    </xf>
    <xf numFmtId="0" fontId="0" fillId="0" borderId="28" xfId="0" applyFont="1" applyBorder="1" applyAlignment="1">
      <alignment horizontal="center" vertical="center" wrapText="1"/>
    </xf>
    <xf numFmtId="3" fontId="0" fillId="0" borderId="28" xfId="0" applyNumberFormat="1" applyFont="1" applyBorder="1" applyAlignment="1">
      <alignment horizontal="center" vertical="center" wrapText="1"/>
    </xf>
    <xf numFmtId="9" fontId="0" fillId="0" borderId="2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187" fontId="6" fillId="0" borderId="10" xfId="0" applyNumberFormat="1" applyFont="1" applyBorder="1" applyAlignment="1">
      <alignment horizontal="center"/>
    </xf>
    <xf numFmtId="9" fontId="6" fillId="0" borderId="10" xfId="0" applyNumberFormat="1" applyFont="1" applyBorder="1" applyAlignment="1">
      <alignment horizontal="center"/>
    </xf>
    <xf numFmtId="182" fontId="6" fillId="0" borderId="10" xfId="0" applyNumberFormat="1" applyFont="1" applyBorder="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xf>
    <xf numFmtId="0" fontId="0" fillId="0" borderId="27" xfId="0" applyFont="1" applyFill="1" applyBorder="1" applyAlignment="1">
      <alignment horizontal="center"/>
    </xf>
    <xf numFmtId="0" fontId="0" fillId="0" borderId="30" xfId="0" applyFont="1" applyFill="1" applyBorder="1" applyAlignment="1">
      <alignment horizontal="center"/>
    </xf>
    <xf numFmtId="3" fontId="0" fillId="0" borderId="10" xfId="0" applyNumberFormat="1" applyFont="1" applyBorder="1" applyAlignment="1">
      <alignment horizontal="center"/>
    </xf>
    <xf numFmtId="1" fontId="0" fillId="0" borderId="10" xfId="0" applyNumberFormat="1" applyBorder="1" applyAlignment="1">
      <alignment horizontal="center"/>
    </xf>
    <xf numFmtId="3" fontId="0" fillId="0" borderId="0" xfId="0" applyNumberFormat="1" applyFont="1" applyBorder="1" applyAlignment="1">
      <alignment/>
    </xf>
    <xf numFmtId="3" fontId="0" fillId="0" borderId="0" xfId="0" applyNumberFormat="1" applyFont="1" applyBorder="1" applyAlignment="1">
      <alignment horizontal="center"/>
    </xf>
    <xf numFmtId="0" fontId="0" fillId="0" borderId="10" xfId="0" applyFont="1" applyBorder="1" applyAlignment="1">
      <alignment horizontal="left" vertical="center"/>
    </xf>
    <xf numFmtId="182"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87" fontId="0" fillId="0" borderId="10" xfId="46" applyNumberFormat="1" applyFont="1" applyBorder="1" applyAlignment="1">
      <alignment horizontal="center"/>
    </xf>
    <xf numFmtId="187" fontId="0" fillId="0" borderId="10" xfId="46" applyNumberFormat="1" applyFont="1" applyBorder="1" applyAlignment="1">
      <alignment horizontal="center" wrapText="1"/>
    </xf>
    <xf numFmtId="3" fontId="0" fillId="0" borderId="10" xfId="0" applyNumberFormat="1" applyFont="1" applyBorder="1" applyAlignment="1">
      <alignment horizontal="center" wrapText="1"/>
    </xf>
    <xf numFmtId="0" fontId="1" fillId="0" borderId="0" xfId="0" applyFont="1" applyBorder="1" applyAlignment="1">
      <alignment/>
    </xf>
    <xf numFmtId="0" fontId="1" fillId="0" borderId="14" xfId="0" applyFont="1" applyFill="1" applyBorder="1" applyAlignment="1">
      <alignment horizontal="center"/>
    </xf>
    <xf numFmtId="3" fontId="0" fillId="0" borderId="14" xfId="0" applyNumberFormat="1" applyFont="1" applyBorder="1" applyAlignment="1">
      <alignment horizontal="center"/>
    </xf>
    <xf numFmtId="0" fontId="3" fillId="0" borderId="18" xfId="0" applyFont="1" applyBorder="1" applyAlignment="1">
      <alignment/>
    </xf>
    <xf numFmtId="0" fontId="0" fillId="0" borderId="31" xfId="0" applyFont="1" applyBorder="1" applyAlignment="1">
      <alignment horizontal="left" vertical="center" wrapText="1"/>
    </xf>
    <xf numFmtId="0" fontId="0" fillId="0" borderId="31"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ill="1" applyBorder="1" applyAlignment="1">
      <alignment horizontal="center" vertical="center"/>
    </xf>
    <xf numFmtId="3" fontId="0" fillId="0" borderId="10" xfId="0" applyNumberFormat="1" applyFont="1" applyBorder="1" applyAlignment="1">
      <alignment horizontal="center" vertical="center" wrapText="1"/>
    </xf>
    <xf numFmtId="3" fontId="29" fillId="0" borderId="10" xfId="0" applyNumberFormat="1" applyFont="1" applyFill="1" applyBorder="1" applyAlignment="1">
      <alignment horizontal="center" vertical="center"/>
    </xf>
    <xf numFmtId="0" fontId="0" fillId="0" borderId="31" xfId="0" applyBorder="1" applyAlignment="1">
      <alignment wrapText="1"/>
    </xf>
    <xf numFmtId="9" fontId="0" fillId="0" borderId="10" xfId="0" applyNumberFormat="1" applyBorder="1" applyAlignment="1">
      <alignment/>
    </xf>
    <xf numFmtId="3" fontId="0" fillId="0" borderId="10" xfId="0" applyNumberFormat="1" applyBorder="1" applyAlignment="1">
      <alignment horizontal="center" vertical="center"/>
    </xf>
    <xf numFmtId="3" fontId="0" fillId="0" borderId="0" xfId="0" applyNumberFormat="1" applyBorder="1" applyAlignment="1">
      <alignment horizontal="center" vertical="center"/>
    </xf>
    <xf numFmtId="0" fontId="0" fillId="0" borderId="10" xfId="0" applyFont="1" applyBorder="1" applyAlignment="1">
      <alignment horizontal="left" vertical="center" wrapText="1" indent="1"/>
    </xf>
    <xf numFmtId="1" fontId="0" fillId="0" borderId="0" xfId="0" applyNumberFormat="1" applyFont="1" applyFill="1" applyBorder="1" applyAlignment="1">
      <alignment horizontal="center"/>
    </xf>
    <xf numFmtId="0" fontId="0" fillId="0" borderId="21" xfId="0" applyBorder="1" applyAlignment="1">
      <alignment/>
    </xf>
    <xf numFmtId="0" fontId="0" fillId="35" borderId="27" xfId="0" applyFont="1" applyFill="1" applyBorder="1" applyAlignment="1">
      <alignment horizontal="left"/>
    </xf>
    <xf numFmtId="0" fontId="0" fillId="35" borderId="27" xfId="0" applyFont="1" applyFill="1" applyBorder="1" applyAlignment="1">
      <alignment horizontal="center"/>
    </xf>
    <xf numFmtId="0" fontId="0" fillId="36" borderId="27" xfId="0" applyFont="1" applyFill="1" applyBorder="1" applyAlignment="1">
      <alignment horizontal="left"/>
    </xf>
    <xf numFmtId="0" fontId="0" fillId="36" borderId="27" xfId="0" applyFont="1" applyFill="1" applyBorder="1" applyAlignment="1">
      <alignment horizontal="center"/>
    </xf>
    <xf numFmtId="0" fontId="0" fillId="36" borderId="32" xfId="0" applyFont="1" applyFill="1" applyBorder="1" applyAlignment="1">
      <alignment horizontal="left"/>
    </xf>
    <xf numFmtId="0" fontId="0" fillId="36" borderId="32" xfId="0" applyFont="1" applyFill="1" applyBorder="1" applyAlignment="1">
      <alignment horizontal="center"/>
    </xf>
    <xf numFmtId="0" fontId="0" fillId="0" borderId="27" xfId="0" applyFont="1" applyFill="1" applyBorder="1" applyAlignment="1">
      <alignment horizontal="left"/>
    </xf>
    <xf numFmtId="182" fontId="0" fillId="0" borderId="10" xfId="0" applyNumberFormat="1" applyFill="1" applyBorder="1" applyAlignment="1">
      <alignment horizontal="center"/>
    </xf>
    <xf numFmtId="0" fontId="0" fillId="0" borderId="10" xfId="0" applyFont="1" applyBorder="1" applyAlignment="1">
      <alignment horizontal="center" vertical="center" wrapText="1"/>
    </xf>
    <xf numFmtId="0" fontId="21" fillId="0" borderId="33" xfId="0" applyFont="1" applyFill="1" applyBorder="1" applyAlignment="1">
      <alignment horizontal="left"/>
    </xf>
    <xf numFmtId="0" fontId="0" fillId="0" borderId="0" xfId="0" applyFill="1" applyBorder="1" applyAlignment="1">
      <alignment/>
    </xf>
    <xf numFmtId="0" fontId="1" fillId="0" borderId="0" xfId="0" applyFont="1" applyFill="1" applyBorder="1" applyAlignment="1">
      <alignment/>
    </xf>
    <xf numFmtId="193" fontId="0" fillId="0" borderId="0" xfId="0" applyNumberFormat="1" applyBorder="1" applyAlignment="1">
      <alignment/>
    </xf>
    <xf numFmtId="195" fontId="0" fillId="0" borderId="0" xfId="0" applyNumberFormat="1" applyBorder="1" applyAlignment="1">
      <alignment horizontal="center"/>
    </xf>
    <xf numFmtId="2" fontId="0" fillId="0" borderId="0" xfId="0" applyNumberFormat="1" applyBorder="1" applyAlignment="1">
      <alignment horizontal="center"/>
    </xf>
    <xf numFmtId="193" fontId="0" fillId="0" borderId="10" xfId="0" applyNumberFormat="1" applyBorder="1" applyAlignment="1">
      <alignment horizontal="center"/>
    </xf>
    <xf numFmtId="182" fontId="0" fillId="0" borderId="0" xfId="0" applyNumberFormat="1" applyBorder="1" applyAlignment="1">
      <alignment horizontal="center"/>
    </xf>
    <xf numFmtId="0" fontId="0" fillId="0" borderId="0" xfId="0" applyAlignment="1">
      <alignment horizontal="right"/>
    </xf>
    <xf numFmtId="0" fontId="29" fillId="0" borderId="0" xfId="0" applyFont="1" applyAlignment="1">
      <alignment horizontal="right"/>
    </xf>
    <xf numFmtId="182" fontId="29" fillId="0" borderId="0" xfId="0" applyNumberFormat="1" applyFont="1" applyAlignment="1">
      <alignment horizontal="center"/>
    </xf>
    <xf numFmtId="3" fontId="0"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29" fillId="0" borderId="10" xfId="0" applyNumberFormat="1" applyFont="1" applyBorder="1" applyAlignment="1">
      <alignment horizontal="center"/>
    </xf>
    <xf numFmtId="1" fontId="1" fillId="0" borderId="10" xfId="0" applyNumberFormat="1" applyFont="1" applyFill="1" applyBorder="1" applyAlignment="1">
      <alignment horizontal="center" vertical="center" wrapText="1"/>
    </xf>
    <xf numFmtId="17" fontId="0" fillId="0" borderId="0" xfId="0" applyNumberFormat="1" applyAlignment="1">
      <alignment/>
    </xf>
    <xf numFmtId="17" fontId="0" fillId="0" borderId="10" xfId="0" applyNumberFormat="1" applyBorder="1" applyAlignment="1">
      <alignment/>
    </xf>
    <xf numFmtId="0" fontId="1" fillId="0" borderId="10" xfId="0" applyFont="1" applyBorder="1" applyAlignment="1">
      <alignment horizontal="right"/>
    </xf>
    <xf numFmtId="17" fontId="1" fillId="0" borderId="10" xfId="0" applyNumberFormat="1" applyFont="1" applyBorder="1" applyAlignment="1">
      <alignment horizontal="center"/>
    </xf>
    <xf numFmtId="180" fontId="0" fillId="0" borderId="10" xfId="63" applyNumberFormat="1" applyFont="1" applyBorder="1" applyAlignment="1">
      <alignment horizontal="center"/>
    </xf>
    <xf numFmtId="3" fontId="31" fillId="0" borderId="0" xfId="0" applyNumberFormat="1" applyFont="1" applyAlignment="1">
      <alignment horizontal="center"/>
    </xf>
    <xf numFmtId="183" fontId="0" fillId="0" borderId="0" xfId="0" applyNumberFormat="1" applyAlignment="1">
      <alignment horizontal="center"/>
    </xf>
    <xf numFmtId="187" fontId="0" fillId="0" borderId="0" xfId="0" applyNumberFormat="1" applyFont="1" applyAlignment="1">
      <alignment horizontal="center"/>
    </xf>
    <xf numFmtId="0" fontId="21" fillId="0" borderId="0" xfId="0" applyFont="1" applyFill="1" applyBorder="1" applyAlignment="1">
      <alignment horizontal="left"/>
    </xf>
    <xf numFmtId="0" fontId="0" fillId="0" borderId="26" xfId="0" applyFont="1" applyBorder="1" applyAlignment="1">
      <alignment horizontal="left" wrapText="1"/>
    </xf>
    <xf numFmtId="0" fontId="6" fillId="0" borderId="0" xfId="0" applyFont="1" applyAlignment="1">
      <alignment horizontal="left" indent="1"/>
    </xf>
    <xf numFmtId="0" fontId="0" fillId="0" borderId="10" xfId="0" applyFont="1" applyFill="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0" fillId="0" borderId="0" xfId="0" applyFont="1" applyBorder="1" applyAlignment="1">
      <alignment horizontal="left" vertical="center"/>
    </xf>
    <xf numFmtId="1" fontId="1" fillId="0" borderId="0" xfId="0" applyNumberFormat="1" applyFont="1" applyAlignment="1">
      <alignment horizontal="center"/>
    </xf>
    <xf numFmtId="0" fontId="0" fillId="0" borderId="10" xfId="0" applyFont="1" applyBorder="1" applyAlignment="1">
      <alignment horizontal="left" vertical="center" wrapText="1"/>
    </xf>
    <xf numFmtId="0" fontId="32" fillId="0" borderId="10" xfId="0" applyFont="1" applyBorder="1" applyAlignment="1">
      <alignment horizontal="center" vertical="center" wrapText="1"/>
    </xf>
    <xf numFmtId="3" fontId="0" fillId="0" borderId="23" xfId="0" applyNumberFormat="1" applyFill="1" applyBorder="1" applyAlignment="1">
      <alignment horizontal="center"/>
    </xf>
    <xf numFmtId="187" fontId="0" fillId="0" borderId="0" xfId="0" applyNumberFormat="1" applyFont="1" applyAlignment="1">
      <alignment horizontal="center" vertical="center" wrapText="1"/>
    </xf>
    <xf numFmtId="0" fontId="1" fillId="0" borderId="0" xfId="0" applyFont="1" applyAlignment="1">
      <alignment/>
    </xf>
    <xf numFmtId="0" fontId="1" fillId="0" borderId="0" xfId="0" applyFont="1" applyAlignment="1">
      <alignment vertical="center" wrapText="1"/>
    </xf>
    <xf numFmtId="0" fontId="18" fillId="0" borderId="0" xfId="0" applyFont="1" applyBorder="1" applyAlignment="1">
      <alignment horizontal="left" vertical="top" wrapText="1"/>
    </xf>
    <xf numFmtId="176" fontId="0" fillId="0" borderId="0" xfId="63" applyNumberFormat="1" applyFont="1" applyAlignment="1">
      <alignment horizontal="center"/>
    </xf>
    <xf numFmtId="3" fontId="0" fillId="0" borderId="34" xfId="0" applyNumberFormat="1" applyBorder="1" applyAlignment="1">
      <alignment horizontal="center"/>
    </xf>
    <xf numFmtId="176" fontId="0" fillId="0" borderId="34" xfId="63" applyNumberFormat="1" applyFont="1" applyBorder="1" applyAlignment="1">
      <alignment horizontal="center"/>
    </xf>
    <xf numFmtId="0" fontId="21" fillId="0" borderId="0" xfId="0" applyFont="1" applyAlignment="1">
      <alignment horizontal="left" vertical="center"/>
    </xf>
    <xf numFmtId="0" fontId="34" fillId="0" borderId="0" xfId="0" applyFont="1" applyAlignment="1">
      <alignment/>
    </xf>
    <xf numFmtId="0" fontId="35" fillId="0" borderId="0" xfId="0" applyFont="1" applyAlignment="1">
      <alignment/>
    </xf>
    <xf numFmtId="0" fontId="1" fillId="0" borderId="35" xfId="0" applyFont="1" applyFill="1" applyBorder="1" applyAlignment="1">
      <alignment horizontal="center"/>
    </xf>
    <xf numFmtId="0" fontId="1" fillId="0" borderId="0" xfId="0" applyFont="1" applyFill="1" applyBorder="1" applyAlignment="1">
      <alignment horizontal="center"/>
    </xf>
    <xf numFmtId="0" fontId="1" fillId="0" borderId="28" xfId="0" applyFont="1" applyFill="1" applyBorder="1" applyAlignment="1">
      <alignment horizontal="center"/>
    </xf>
    <xf numFmtId="0" fontId="0" fillId="0" borderId="0" xfId="0" applyFill="1" applyBorder="1" applyAlignment="1">
      <alignment/>
    </xf>
    <xf numFmtId="0" fontId="0" fillId="0" borderId="36" xfId="0" applyFill="1" applyBorder="1" applyAlignment="1">
      <alignment/>
    </xf>
    <xf numFmtId="0" fontId="36" fillId="0" borderId="0" xfId="0" applyFont="1" applyAlignment="1">
      <alignment/>
    </xf>
    <xf numFmtId="0" fontId="36" fillId="37" borderId="0" xfId="0" applyFont="1" applyFill="1" applyAlignment="1">
      <alignment/>
    </xf>
    <xf numFmtId="0" fontId="0" fillId="37" borderId="0" xfId="0" applyFill="1" applyAlignment="1">
      <alignment/>
    </xf>
    <xf numFmtId="3" fontId="0" fillId="37" borderId="0" xfId="0" applyNumberFormat="1" applyFill="1" applyAlignment="1">
      <alignment/>
    </xf>
    <xf numFmtId="0" fontId="37" fillId="0" borderId="0" xfId="0" applyFont="1" applyAlignment="1">
      <alignment horizontal="center" vertical="center" wrapText="1"/>
    </xf>
    <xf numFmtId="0" fontId="36" fillId="0" borderId="10" xfId="0" applyFont="1" applyBorder="1" applyAlignment="1">
      <alignment horizontal="center" wrapText="1"/>
    </xf>
    <xf numFmtId="0" fontId="38" fillId="0" borderId="0" xfId="0" applyFont="1" applyAlignment="1">
      <alignment/>
    </xf>
    <xf numFmtId="182" fontId="40" fillId="0" borderId="0" xfId="0" applyNumberFormat="1" applyFont="1" applyAlignment="1">
      <alignment horizontal="center"/>
    </xf>
    <xf numFmtId="2" fontId="38" fillId="0" borderId="0" xfId="0" applyNumberFormat="1" applyFont="1" applyAlignment="1">
      <alignment/>
    </xf>
    <xf numFmtId="3" fontId="38" fillId="0" borderId="0" xfId="0" applyNumberFormat="1" applyFont="1" applyAlignment="1">
      <alignment/>
    </xf>
    <xf numFmtId="0" fontId="36" fillId="0" borderId="0" xfId="0" applyFont="1" applyAlignment="1">
      <alignment horizontal="left"/>
    </xf>
    <xf numFmtId="0" fontId="38" fillId="0" borderId="0" xfId="0" applyFont="1" applyAlignment="1">
      <alignment horizontal="left" indent="1"/>
    </xf>
    <xf numFmtId="3" fontId="38" fillId="0" borderId="0" xfId="0" applyNumberFormat="1" applyFont="1" applyFill="1" applyAlignment="1">
      <alignment horizontal="center"/>
    </xf>
    <xf numFmtId="182" fontId="38" fillId="0" borderId="0" xfId="0" applyNumberFormat="1" applyFont="1" applyAlignment="1">
      <alignment horizontal="center"/>
    </xf>
    <xf numFmtId="2" fontId="38" fillId="38" borderId="0" xfId="0" applyNumberFormat="1" applyFont="1" applyFill="1" applyAlignment="1">
      <alignment/>
    </xf>
    <xf numFmtId="0" fontId="36" fillId="38" borderId="0" xfId="0" applyFont="1" applyFill="1" applyAlignment="1">
      <alignment horizontal="left" wrapText="1"/>
    </xf>
    <xf numFmtId="0" fontId="41" fillId="0" borderId="0" xfId="0" applyFont="1" applyAlignment="1">
      <alignment horizontal="left"/>
    </xf>
    <xf numFmtId="0" fontId="0" fillId="38" borderId="0" xfId="0" applyFill="1" applyAlignment="1">
      <alignment/>
    </xf>
    <xf numFmtId="9" fontId="38" fillId="0" borderId="0" xfId="46" applyFont="1" applyAlignment="1">
      <alignment horizontal="center"/>
    </xf>
    <xf numFmtId="0" fontId="38" fillId="0" borderId="0" xfId="0" applyFont="1" applyAlignment="1">
      <alignment/>
    </xf>
    <xf numFmtId="182" fontId="38" fillId="0" borderId="0" xfId="46" applyNumberFormat="1" applyFont="1" applyAlignment="1">
      <alignment horizontal="center"/>
    </xf>
    <xf numFmtId="2" fontId="38" fillId="0" borderId="0" xfId="0" applyNumberFormat="1" applyFont="1" applyAlignment="1">
      <alignment/>
    </xf>
    <xf numFmtId="2" fontId="38" fillId="0" borderId="0" xfId="46" applyNumberFormat="1" applyFont="1" applyAlignment="1">
      <alignment horizontal="center"/>
    </xf>
    <xf numFmtId="3" fontId="38" fillId="0" borderId="0" xfId="0" applyNumberFormat="1" applyFont="1" applyAlignment="1">
      <alignment horizontal="center"/>
    </xf>
    <xf numFmtId="0" fontId="20" fillId="38" borderId="0" xfId="0" applyFont="1" applyFill="1" applyAlignment="1">
      <alignment/>
    </xf>
    <xf numFmtId="0" fontId="42" fillId="0" borderId="0" xfId="0" applyFont="1" applyFill="1" applyAlignment="1">
      <alignment horizontal="left"/>
    </xf>
    <xf numFmtId="0" fontId="43" fillId="0" borderId="0" xfId="0" applyFont="1" applyFill="1" applyAlignment="1">
      <alignment/>
    </xf>
    <xf numFmtId="9" fontId="40" fillId="0" borderId="0" xfId="46" applyFont="1" applyFill="1" applyAlignment="1">
      <alignment horizontal="center"/>
    </xf>
    <xf numFmtId="0" fontId="44" fillId="0" borderId="0" xfId="0" applyFont="1" applyFill="1" applyAlignment="1">
      <alignment horizontal="left"/>
    </xf>
    <xf numFmtId="0" fontId="45" fillId="0" borderId="0" xfId="0" applyFont="1" applyAlignment="1">
      <alignment/>
    </xf>
    <xf numFmtId="9" fontId="8" fillId="0" borderId="0" xfId="46" applyFont="1" applyFill="1" applyAlignment="1">
      <alignment horizontal="center"/>
    </xf>
    <xf numFmtId="0" fontId="0" fillId="0" borderId="0" xfId="0" applyFont="1" applyAlignment="1">
      <alignment/>
    </xf>
    <xf numFmtId="0" fontId="38" fillId="0" borderId="0" xfId="0" applyFont="1" applyAlignment="1">
      <alignment/>
    </xf>
    <xf numFmtId="0" fontId="38" fillId="0" borderId="0" xfId="0" applyFont="1" applyAlignment="1">
      <alignment horizontal="center"/>
    </xf>
    <xf numFmtId="0" fontId="41" fillId="39" borderId="0" xfId="0" applyFont="1" applyFill="1" applyAlignment="1">
      <alignment horizontal="left"/>
    </xf>
    <xf numFmtId="0" fontId="0" fillId="0" borderId="37" xfId="0" applyBorder="1" applyAlignment="1">
      <alignment horizontal="left" indent="1"/>
    </xf>
    <xf numFmtId="3" fontId="0" fillId="0" borderId="37" xfId="0" applyNumberFormat="1" applyBorder="1" applyAlignment="1">
      <alignment horizontal="center"/>
    </xf>
    <xf numFmtId="182" fontId="0" fillId="0" borderId="37" xfId="0" applyNumberFormat="1" applyBorder="1" applyAlignment="1">
      <alignment horizontal="center"/>
    </xf>
    <xf numFmtId="3" fontId="36" fillId="0" borderId="37" xfId="0" applyNumberFormat="1" applyFont="1" applyBorder="1" applyAlignment="1">
      <alignment/>
    </xf>
    <xf numFmtId="2" fontId="41" fillId="0" borderId="37" xfId="0" applyNumberFormat="1" applyFont="1" applyBorder="1" applyAlignment="1">
      <alignment/>
    </xf>
    <xf numFmtId="2" fontId="38" fillId="0" borderId="37" xfId="0" applyNumberFormat="1" applyFont="1" applyBorder="1" applyAlignment="1">
      <alignment/>
    </xf>
    <xf numFmtId="0" fontId="36" fillId="0" borderId="0" xfId="0" applyFont="1" applyAlignment="1">
      <alignment wrapText="1"/>
    </xf>
    <xf numFmtId="0" fontId="0" fillId="0" borderId="0" xfId="0" applyAlignment="1">
      <alignment/>
    </xf>
    <xf numFmtId="3" fontId="36" fillId="0" borderId="0" xfId="0" applyNumberFormat="1" applyFont="1" applyAlignment="1">
      <alignment/>
    </xf>
    <xf numFmtId="2" fontId="41" fillId="0" borderId="0" xfId="0" applyNumberFormat="1" applyFont="1" applyAlignment="1">
      <alignment/>
    </xf>
    <xf numFmtId="0" fontId="0" fillId="0" borderId="0" xfId="0" applyBorder="1" applyAlignment="1">
      <alignment horizontal="left" indent="1"/>
    </xf>
    <xf numFmtId="0" fontId="0" fillId="0" borderId="0" xfId="0" applyBorder="1" applyAlignment="1">
      <alignment horizontal="center" vertical="center"/>
    </xf>
    <xf numFmtId="0" fontId="0" fillId="0" borderId="0" xfId="0" applyFont="1" applyFill="1" applyBorder="1" applyAlignment="1">
      <alignment horizontal="right"/>
    </xf>
    <xf numFmtId="195" fontId="0" fillId="0" borderId="0" xfId="0" applyNumberFormat="1" applyAlignment="1">
      <alignment/>
    </xf>
    <xf numFmtId="4" fontId="0" fillId="0" borderId="0" xfId="0" applyNumberFormat="1" applyAlignment="1">
      <alignment/>
    </xf>
    <xf numFmtId="187" fontId="0" fillId="0" borderId="0" xfId="0" applyNumberFormat="1" applyAlignment="1">
      <alignment/>
    </xf>
    <xf numFmtId="177" fontId="0" fillId="0" borderId="0" xfId="0" applyNumberFormat="1" applyAlignment="1">
      <alignment/>
    </xf>
    <xf numFmtId="208" fontId="49" fillId="0" borderId="0" xfId="0" applyNumberFormat="1" applyFont="1" applyAlignment="1">
      <alignment horizontal="center"/>
    </xf>
    <xf numFmtId="0" fontId="21" fillId="0" borderId="0" xfId="0" applyFont="1" applyAlignment="1">
      <alignment horizontal="center" vertical="center" wrapText="1"/>
    </xf>
    <xf numFmtId="176" fontId="49" fillId="0" borderId="0" xfId="0" applyNumberFormat="1" applyFont="1" applyAlignment="1">
      <alignment horizontal="center"/>
    </xf>
    <xf numFmtId="0" fontId="49" fillId="0" borderId="0" xfId="0" applyFont="1" applyAlignment="1">
      <alignment horizontal="left" vertical="center"/>
    </xf>
    <xf numFmtId="0" fontId="1"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quotePrefix="1">
      <alignment horizontal="center"/>
    </xf>
    <xf numFmtId="0" fontId="50" fillId="0" borderId="0" xfId="0" applyFont="1" applyAlignment="1">
      <alignment horizontal="center" vertical="center" wrapText="1"/>
    </xf>
    <xf numFmtId="183" fontId="50" fillId="0" borderId="0" xfId="0" applyNumberFormat="1" applyFont="1" applyAlignment="1">
      <alignment horizontal="center"/>
    </xf>
    <xf numFmtId="0" fontId="0" fillId="0" borderId="34" xfId="0" applyBorder="1" applyAlignment="1">
      <alignment horizontal="center"/>
    </xf>
    <xf numFmtId="0" fontId="0" fillId="0" borderId="0" xfId="0" applyAlignment="1">
      <alignment horizontal="left" vertical="center"/>
    </xf>
    <xf numFmtId="1" fontId="0" fillId="0" borderId="34" xfId="0" applyNumberFormat="1" applyBorder="1" applyAlignment="1">
      <alignment horizontal="center"/>
    </xf>
    <xf numFmtId="9" fontId="0" fillId="0" borderId="0" xfId="46" applyFont="1" applyAlignment="1">
      <alignment horizontal="left"/>
    </xf>
    <xf numFmtId="0" fontId="6" fillId="0" borderId="0" xfId="0" applyFont="1" applyAlignment="1">
      <alignment wrapText="1"/>
    </xf>
    <xf numFmtId="0" fontId="1" fillId="0" borderId="25" xfId="0" applyFont="1" applyFill="1" applyBorder="1" applyAlignment="1">
      <alignment horizontal="center"/>
    </xf>
    <xf numFmtId="0" fontId="0" fillId="0" borderId="3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 fillId="0" borderId="25" xfId="0" applyFont="1" applyBorder="1" applyAlignment="1">
      <alignment horizontal="center"/>
    </xf>
    <xf numFmtId="0" fontId="0" fillId="0" borderId="10" xfId="0" applyBorder="1" applyAlignment="1">
      <alignment horizontal="center" vertical="center"/>
    </xf>
    <xf numFmtId="0" fontId="1" fillId="0" borderId="13" xfId="0" applyFont="1" applyBorder="1" applyAlignment="1">
      <alignment horizontal="left" vertical="center"/>
    </xf>
    <xf numFmtId="0" fontId="1" fillId="0" borderId="38" xfId="0" applyFont="1" applyBorder="1" applyAlignment="1">
      <alignment horizontal="lef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xf>
    <xf numFmtId="0" fontId="0" fillId="0" borderId="39" xfId="0" applyFont="1" applyBorder="1" applyAlignment="1">
      <alignment horizontal="center" vertical="center"/>
    </xf>
    <xf numFmtId="0" fontId="0" fillId="0" borderId="3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1" fillId="0" borderId="11"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1" xfId="0" applyFont="1" applyBorder="1" applyAlignment="1">
      <alignment horizontal="center"/>
    </xf>
    <xf numFmtId="0" fontId="32" fillId="0" borderId="28" xfId="0" applyFont="1" applyBorder="1" applyAlignment="1">
      <alignment horizontal="center"/>
    </xf>
    <xf numFmtId="0" fontId="32" fillId="0" borderId="31"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1" xfId="0" applyFont="1" applyBorder="1" applyAlignment="1">
      <alignment horizontal="left"/>
    </xf>
    <xf numFmtId="0" fontId="3" fillId="0" borderId="29" xfId="0" applyFont="1" applyBorder="1" applyAlignment="1">
      <alignment horizontal="left"/>
    </xf>
    <xf numFmtId="0" fontId="32" fillId="0" borderId="29" xfId="0" applyFont="1" applyBorder="1" applyAlignment="1">
      <alignment horizontal="center"/>
    </xf>
    <xf numFmtId="0" fontId="32" fillId="0" borderId="14" xfId="0" applyFont="1" applyBorder="1" applyAlignment="1">
      <alignment horizontal="center" vertical="center" wrapText="1"/>
    </xf>
    <xf numFmtId="0" fontId="32" fillId="0" borderId="25" xfId="0" applyFont="1" applyBorder="1" applyAlignment="1">
      <alignment horizontal="center" vertical="center" wrapText="1"/>
    </xf>
    <xf numFmtId="0" fontId="3" fillId="0" borderId="31" xfId="0" applyFont="1" applyBorder="1" applyAlignment="1">
      <alignment horizontal="center"/>
    </xf>
    <xf numFmtId="0" fontId="3" fillId="0" borderId="29" xfId="0" applyFont="1" applyBorder="1" applyAlignment="1">
      <alignment horizontal="center"/>
    </xf>
    <xf numFmtId="0" fontId="3" fillId="0" borderId="31" xfId="0" applyFont="1" applyFill="1" applyBorder="1" applyAlignment="1">
      <alignment horizontal="center"/>
    </xf>
    <xf numFmtId="0" fontId="3" fillId="0" borderId="29" xfId="0" applyFont="1" applyFill="1" applyBorder="1" applyAlignment="1">
      <alignment horizont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18" xfId="0" applyFont="1" applyFill="1" applyBorder="1" applyAlignment="1">
      <alignment horizontal="center" vertical="center" wrapText="1"/>
    </xf>
    <xf numFmtId="1" fontId="1" fillId="0" borderId="31"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182" fontId="0" fillId="0" borderId="31" xfId="0" applyNumberFormat="1" applyBorder="1" applyAlignment="1">
      <alignment horizontal="center"/>
    </xf>
    <xf numFmtId="182" fontId="0" fillId="0" borderId="29" xfId="0" applyNumberFormat="1" applyBorder="1" applyAlignment="1">
      <alignment horizontal="center"/>
    </xf>
    <xf numFmtId="182" fontId="0" fillId="0" borderId="31" xfId="0" applyNumberFormat="1" applyFont="1" applyBorder="1" applyAlignment="1">
      <alignment horizontal="center"/>
    </xf>
    <xf numFmtId="182" fontId="0" fillId="0" borderId="29" xfId="0" applyNumberFormat="1" applyFont="1" applyBorder="1" applyAlignment="1">
      <alignment horizontal="center"/>
    </xf>
    <xf numFmtId="0" fontId="1" fillId="0" borderId="10" xfId="0" applyFont="1" applyBorder="1" applyAlignment="1">
      <alignment horizontal="left" vertical="center" wrapText="1"/>
    </xf>
    <xf numFmtId="183" fontId="29" fillId="0" borderId="10" xfId="0" applyNumberFormat="1" applyFont="1" applyBorder="1" applyAlignment="1">
      <alignment horizontal="center" vertical="center"/>
    </xf>
    <xf numFmtId="3" fontId="0" fillId="0" borderId="10" xfId="0" applyNumberFormat="1" applyBorder="1" applyAlignment="1">
      <alignment horizontal="center" vertical="center"/>
    </xf>
    <xf numFmtId="0" fontId="1" fillId="0" borderId="31" xfId="0" applyFont="1" applyBorder="1" applyAlignment="1">
      <alignment horizontal="center"/>
    </xf>
    <xf numFmtId="0" fontId="1" fillId="0" borderId="29" xfId="0" applyFont="1" applyBorder="1" applyAlignment="1">
      <alignment horizontal="center"/>
    </xf>
    <xf numFmtId="0" fontId="1" fillId="0" borderId="10" xfId="0" applyFont="1" applyBorder="1" applyAlignment="1">
      <alignment horizontal="center"/>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3" fontId="0" fillId="0" borderId="38" xfId="0" applyNumberFormat="1" applyFill="1" applyBorder="1" applyAlignment="1">
      <alignment horizontal="center" vertical="center"/>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0" fillId="0" borderId="38" xfId="0" applyBorder="1" applyAlignment="1">
      <alignment/>
    </xf>
    <xf numFmtId="9" fontId="0" fillId="0" borderId="0" xfId="0" applyNumberFormat="1" applyFont="1" applyAlignment="1">
      <alignment horizontal="center" vertical="center" wrapText="1"/>
    </xf>
    <xf numFmtId="0" fontId="0" fillId="0" borderId="13" xfId="0" applyBorder="1" applyAlignment="1">
      <alignment horizontal="center"/>
    </xf>
    <xf numFmtId="0" fontId="0" fillId="0" borderId="38" xfId="0" applyBorder="1" applyAlignment="1">
      <alignment horizontal="center"/>
    </xf>
    <xf numFmtId="0" fontId="0" fillId="0" borderId="13" xfId="0" applyBorder="1" applyAlignment="1">
      <alignment horizontal="center" vertical="center"/>
    </xf>
    <xf numFmtId="0" fontId="0" fillId="0" borderId="38" xfId="0" applyBorder="1" applyAlignment="1">
      <alignment horizontal="center" vertical="center"/>
    </xf>
    <xf numFmtId="0" fontId="18" fillId="0" borderId="0" xfId="0" applyFont="1" applyBorder="1" applyAlignment="1">
      <alignment horizontal="left" vertical="top" wrapText="1"/>
    </xf>
    <xf numFmtId="0" fontId="36" fillId="0" borderId="13"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13" xfId="0" applyFont="1" applyBorder="1" applyAlignment="1">
      <alignment horizontal="left" vertical="center" wrapText="1"/>
    </xf>
    <xf numFmtId="0" fontId="0" fillId="0" borderId="38" xfId="0" applyBorder="1" applyAlignment="1">
      <alignment horizontal="left" vertical="center" wrapText="1"/>
    </xf>
    <xf numFmtId="0" fontId="0" fillId="0" borderId="10" xfId="0" applyBorder="1" applyAlignment="1">
      <alignment horizontal="center"/>
    </xf>
    <xf numFmtId="0" fontId="0" fillId="0" borderId="10" xfId="0" applyBorder="1" applyAlignment="1">
      <alignment horizontal="center" vertical="center" wrapText="1"/>
    </xf>
    <xf numFmtId="0" fontId="0" fillId="0" borderId="0" xfId="0" applyFont="1" applyAlignment="1">
      <alignment horizontal="left"/>
    </xf>
    <xf numFmtId="0" fontId="0" fillId="0" borderId="0" xfId="0" applyAlignment="1">
      <alignment horizontal="center"/>
    </xf>
    <xf numFmtId="0" fontId="36" fillId="0" borderId="0" xfId="0" applyFont="1" applyAlignment="1">
      <alignment wrapText="1"/>
    </xf>
    <xf numFmtId="0" fontId="0" fillId="0" borderId="0" xfId="0" applyAlignment="1">
      <alignment/>
    </xf>
    <xf numFmtId="0" fontId="8" fillId="0" borderId="0" xfId="33" applyFont="1" applyFill="1" applyBorder="1" applyAlignment="1">
      <alignment horizontal="left" vertical="center" wrapText="1" indent="1"/>
      <protection/>
    </xf>
    <xf numFmtId="0" fontId="1" fillId="0" borderId="0" xfId="0" applyFont="1" applyFill="1" applyBorder="1" applyAlignment="1">
      <alignment horizontal="left" wrapText="1"/>
    </xf>
    <xf numFmtId="0" fontId="0" fillId="0" borderId="0" xfId="0" applyAlignment="1">
      <alignment wrapText="1"/>
    </xf>
    <xf numFmtId="0" fontId="0" fillId="0" borderId="0" xfId="0" applyAlignment="1">
      <alignment horizontal="left" wrapText="1"/>
    </xf>
    <xf numFmtId="0" fontId="1" fillId="0" borderId="35" xfId="0" applyFont="1" applyFill="1" applyBorder="1" applyAlignment="1">
      <alignment horizontal="center"/>
    </xf>
    <xf numFmtId="0" fontId="0" fillId="0" borderId="35" xfId="0" applyBorder="1" applyAlignment="1">
      <alignment horizontal="center"/>
    </xf>
    <xf numFmtId="0" fontId="1" fillId="0" borderId="35" xfId="0" applyFont="1" applyFill="1" applyBorder="1" applyAlignment="1">
      <alignment horizontal="center" wrapText="1"/>
    </xf>
    <xf numFmtId="0" fontId="0" fillId="0" borderId="0" xfId="0" applyAlignment="1">
      <alignment horizontal="center" wrapText="1"/>
    </xf>
    <xf numFmtId="0" fontId="1" fillId="0" borderId="35" xfId="0" applyFont="1" applyFill="1" applyBorder="1" applyAlignment="1">
      <alignment horizontal="left" wrapText="1"/>
    </xf>
    <xf numFmtId="0" fontId="0" fillId="0" borderId="35" xfId="0" applyBorder="1" applyAlignment="1">
      <alignment horizontal="left" wrapText="1"/>
    </xf>
  </cellXfs>
  <cellStyles count="52">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_CALCCON" xfId="33"/>
    <cellStyle name="Normal_Output" xfId="34"/>
    <cellStyle name="Normal_WWS" xfId="35"/>
    <cellStyle name="강조색1" xfId="36"/>
    <cellStyle name="강조색2" xfId="37"/>
    <cellStyle name="강조색3" xfId="38"/>
    <cellStyle name="강조색4" xfId="39"/>
    <cellStyle name="강조색5" xfId="40"/>
    <cellStyle name="강조색6" xfId="41"/>
    <cellStyle name="경고문" xfId="42"/>
    <cellStyle name="계산" xfId="43"/>
    <cellStyle name="나쁨" xfId="44"/>
    <cellStyle name="메모" xfId="45"/>
    <cellStyle name="Percent" xfId="46"/>
    <cellStyle name="보통" xfId="47"/>
    <cellStyle name="설명 텍스트" xfId="48"/>
    <cellStyle name="셀 확인" xfId="49"/>
    <cellStyle name="Comma" xfId="50"/>
    <cellStyle name="Comma [0]" xfId="51"/>
    <cellStyle name="연결된 셀" xfId="52"/>
    <cellStyle name="Followed Hyperlink" xfId="53"/>
    <cellStyle name="요약" xfId="54"/>
    <cellStyle name="입력" xfId="55"/>
    <cellStyle name="제목" xfId="56"/>
    <cellStyle name="제목 1" xfId="57"/>
    <cellStyle name="제목 2" xfId="58"/>
    <cellStyle name="제목 3" xfId="59"/>
    <cellStyle name="제목 4" xfId="60"/>
    <cellStyle name="좋음" xfId="61"/>
    <cellStyle name="출력" xfId="62"/>
    <cellStyle name="Currency" xfId="63"/>
    <cellStyle name="Currency [0]" xfId="64"/>
    <cellStyle name="Hyperlink"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190500</xdr:rowOff>
    </xdr:from>
    <xdr:to>
      <xdr:col>12</xdr:col>
      <xdr:colOff>28575</xdr:colOff>
      <xdr:row>9</xdr:row>
      <xdr:rowOff>323850</xdr:rowOff>
    </xdr:to>
    <xdr:sp>
      <xdr:nvSpPr>
        <xdr:cNvPr id="1" name="Text Box 10"/>
        <xdr:cNvSpPr txBox="1">
          <a:spLocks noChangeArrowheads="1"/>
        </xdr:cNvSpPr>
      </xdr:nvSpPr>
      <xdr:spPr>
        <a:xfrm>
          <a:off x="5629275" y="1171575"/>
          <a:ext cx="5819775" cy="3114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COMMENTARY
</a:t>
          </a:r>
          <a:r>
            <a:rPr lang="en-US" cap="none" sz="1000" b="0" i="0" u="none" baseline="0">
              <a:solidFill>
                <a:srgbClr val="000000"/>
              </a:solidFill>
              <a:latin typeface="Arial"/>
              <a:ea typeface="Arial"/>
              <a:cs typeface="Arial"/>
            </a:rPr>
            <a:t>Because there are several areas for which there is simply not sufficient data to make any reasonable deductions at this point, these numbers are likely to be somewhat conservative.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felt that all of the major areas of employment and expenditure are captured here, although estimates of employment are thought to be conservative. However there are significant specialist areas for which insufficient data is presently available and which could add materially to these conclusions.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Major specialist areas for employment, sales of technology, engineering services and economic activity for which we presently have no certainty that we have collected accurate data includes: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Sales, service and installation of small cool rooms - not in the cold chain and supermarkets
</a:t>
          </a:r>
          <a:r>
            <a:rPr lang="en-US" cap="none" sz="1000" b="0" i="0" u="none" baseline="0">
              <a:solidFill>
                <a:srgbClr val="000000"/>
              </a:solidFill>
              <a:latin typeface="Arial"/>
              <a:ea typeface="Arial"/>
              <a:cs typeface="Arial"/>
            </a:rPr>
            <a:t>- Commercial Aviation - domestic and international flights serviced here
</a:t>
          </a:r>
          <a:r>
            <a:rPr lang="en-US" cap="none" sz="1000" b="0" i="0" u="none" baseline="0">
              <a:solidFill>
                <a:srgbClr val="000000"/>
              </a:solidFill>
              <a:latin typeface="Arial"/>
              <a:ea typeface="Arial"/>
              <a:cs typeface="Arial"/>
            </a:rPr>
            <a:t>- Mining and in mine machinery
</a:t>
          </a:r>
          <a:r>
            <a:rPr lang="en-US" cap="none" sz="1000" b="0" i="0" u="none" baseline="0">
              <a:solidFill>
                <a:srgbClr val="000000"/>
              </a:solidFill>
              <a:latin typeface="Arial"/>
              <a:ea typeface="Arial"/>
              <a:cs typeface="Arial"/>
            </a:rPr>
            <a:t>- Marine Systems - domestic, international, commercial and private vessels equipped and serviced here
</a:t>
          </a:r>
          <a:r>
            <a:rPr lang="en-US" cap="none" sz="1000" b="0" i="0" u="none" baseline="0">
              <a:solidFill>
                <a:srgbClr val="000000"/>
              </a:solidFill>
              <a:latin typeface="Arial"/>
              <a:ea typeface="Arial"/>
              <a:cs typeface="Arial"/>
            </a:rPr>
            <a:t>- Ancillary sales and service for control systems, sensors, filters, chemicals, specialist cleaning
</a:t>
          </a:r>
          <a:r>
            <a:rPr lang="en-US" cap="none" sz="1000" b="0" i="0" u="none" baseline="0">
              <a:solidFill>
                <a:srgbClr val="000000"/>
              </a:solidFill>
              <a:latin typeface="Arial"/>
              <a:ea typeface="Arial"/>
              <a:cs typeface="Arial"/>
            </a:rPr>
            <a:t>- Military vehicles, equipment and systems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13</xdr:row>
      <xdr:rowOff>0</xdr:rowOff>
    </xdr:from>
    <xdr:to>
      <xdr:col>15</xdr:col>
      <xdr:colOff>47625</xdr:colOff>
      <xdr:row>26</xdr:row>
      <xdr:rowOff>9525</xdr:rowOff>
    </xdr:to>
    <xdr:sp>
      <xdr:nvSpPr>
        <xdr:cNvPr id="1" name="Text Box 7"/>
        <xdr:cNvSpPr txBox="1">
          <a:spLocks noChangeArrowheads="1"/>
        </xdr:cNvSpPr>
      </xdr:nvSpPr>
      <xdr:spPr>
        <a:xfrm>
          <a:off x="4419600" y="2162175"/>
          <a:ext cx="4876800" cy="2276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work-sheet calculates energy consumed by Coolrooms across the cold chain &amp; excludes Cold Storage &amp; Supermarket coolrooms as energy consumption in these areas are covered in work-sheets CC-Supermarket &amp; CC-Cold Storage.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Energy Consumed Cool Rooms (excl. Cold Storage/Supermarket) was estimated to be 316 GWh/a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Base data on number of coolrooms was obtained from a survey undertaken by market leader of coolroom supplies (incl. insulating panels,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Assumptions are listed in the work sheet &amp; a check was undertaken to confirm these assumptions versus technical data used by Mark Ellis &amp; Ass in MEPS for Self Contained Commercial Refrigeration, 2000.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11</xdr:col>
      <xdr:colOff>228600</xdr:colOff>
      <xdr:row>41</xdr:row>
      <xdr:rowOff>0</xdr:rowOff>
    </xdr:to>
    <xdr:sp>
      <xdr:nvSpPr>
        <xdr:cNvPr id="1" name="Text Box 1"/>
        <xdr:cNvSpPr txBox="1">
          <a:spLocks noChangeArrowheads="1"/>
        </xdr:cNvSpPr>
      </xdr:nvSpPr>
      <xdr:spPr>
        <a:xfrm>
          <a:off x="19050" y="323850"/>
          <a:ext cx="6915150" cy="63436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Industrial refrigeration typically referred to </a:t>
          </a:r>
          <a:r>
            <a:rPr lang="en-US" cap="none" sz="1000" b="0" i="0" u="none" baseline="0">
              <a:solidFill>
                <a:srgbClr val="000000"/>
              </a:solidFill>
              <a:latin typeface="맑은 고딕"/>
              <a:ea typeface="맑은 고딕"/>
              <a:cs typeface="맑은 고딕"/>
            </a:rPr>
            <a:t>“</a:t>
          </a:r>
          <a:r>
            <a:rPr lang="en-US" cap="none" sz="1000" b="0" i="0" u="none" baseline="0">
              <a:solidFill>
                <a:srgbClr val="000000"/>
              </a:solidFill>
              <a:latin typeface="Arial"/>
              <a:ea typeface="Arial"/>
              <a:cs typeface="Arial"/>
            </a:rPr>
            <a:t>Ammonia refrigeration applications</a:t>
          </a:r>
          <a:r>
            <a:rPr lang="en-US" cap="none" sz="1000" b="0" i="0" u="none" baseline="0">
              <a:solidFill>
                <a:srgbClr val="000000"/>
              </a:solidFill>
              <a:latin typeface="맑은 고딕"/>
              <a:ea typeface="맑은 고딕"/>
              <a:cs typeface="맑은 고딕"/>
            </a:rPr>
            <a:t>”</a:t>
          </a:r>
          <a:r>
            <a:rPr lang="en-US" cap="none" sz="1000" b="0" i="0" u="none" baseline="0">
              <a:solidFill>
                <a:srgbClr val="000000"/>
              </a:solidFill>
              <a:latin typeface="Arial"/>
              <a:ea typeface="Arial"/>
              <a:cs typeface="Arial"/>
            </a:rPr>
            <a:t> in the Food Chain (Primary/Secondary Chilling/Freezing &amp; Cold Storage), not to be confused with cooling/chiller applications in industry.
The installed ba</a:t>
          </a:r>
          <a:r>
            <a:rPr lang="en-US" cap="none" sz="1000" b="0" i="0" u="none" baseline="0">
              <a:solidFill>
                <a:srgbClr val="000000"/>
              </a:solidFill>
              <a:latin typeface="Arial"/>
              <a:ea typeface="Arial"/>
              <a:cs typeface="Arial"/>
            </a:rPr>
            <a:t>se of industrial applications is difficult to quantify as the business is very project oriented, which means sales of Ammonia (screw &amp; some large reciprocating) compressors &amp; kWR sizes vary significantly from year to year.  The best industry estimate is 120 to 150 compressors p.a. with approx. 30% applied in Cold Storage applications &amp; the majority in chilling/Freezing/ice making applications in primary/secondary stages of the Cold Food Chain.  The total energy consumed by Industrial refrigeration applications is likely to be at least double the energy consumed in Cold Storage (356 GWh/a) as there are more applications, typically require greater refrigeration capacity, however have lower annual running hours than Cold Storage applications due to seasonality/factory shifts.  For simplicity until further investigation is undertaken we will assume the total energy consumed in primary/secondary stages of the Cold Food Chain is the same as Cold Storage (356 GWh/a &amp; split 40:60 between primary : secondary).
The market lead</a:t>
          </a:r>
          <a:r>
            <a:rPr lang="en-US" cap="none" sz="1000" b="0" i="0" u="none" baseline="0">
              <a:solidFill>
                <a:srgbClr val="000000"/>
              </a:solidFill>
              <a:latin typeface="Arial"/>
              <a:ea typeface="Arial"/>
              <a:cs typeface="Arial"/>
            </a:rPr>
            <a:t>er of screw compressors in Australia is Mycom. Please see list/links of other suppliers below.
There are a gr</a:t>
          </a:r>
          <a:r>
            <a:rPr lang="en-US" cap="none" sz="1000" b="0" i="0" u="none" baseline="0">
              <a:solidFill>
                <a:srgbClr val="000000"/>
              </a:solidFill>
              <a:latin typeface="Arial"/>
              <a:ea typeface="Arial"/>
              <a:cs typeface="Arial"/>
            </a:rPr>
            <a:t>oup of key national contractors including Gordon Brothers (part of Hastie Group), Techrite Refrigeration, Cold Logic &amp; regional contractors such as Fourair (target food chain applications Vic &amp; Southern NSW) that service industrial refrigeration applications (Ammonia) &amp; chillers (Food chain, Industrial Applications &amp; Other).  
Key suppliers</a:t>
          </a:r>
          <a:r>
            <a:rPr lang="en-US" cap="none" sz="1000" b="0" i="0" u="none" baseline="0">
              <a:solidFill>
                <a:srgbClr val="000000"/>
              </a:solidFill>
              <a:latin typeface="Arial"/>
              <a:ea typeface="Arial"/>
              <a:cs typeface="Arial"/>
            </a:rPr>
            <a:t>
Compressors
</a:t>
          </a:r>
          <a:r>
            <a:rPr lang="en-US" cap="none" sz="1000" b="0" i="0" u="none" baseline="0">
              <a:solidFill>
                <a:srgbClr val="000000"/>
              </a:solidFill>
              <a:latin typeface="Arial"/>
              <a:ea typeface="Arial"/>
              <a:cs typeface="Arial"/>
            </a:rPr>
            <a:t>http://www.mycomcpc.com/ (Mayekawa)
</a:t>
          </a:r>
          <a:r>
            <a:rPr lang="en-US" cap="none" sz="1000" b="0" i="0" u="none" baseline="0">
              <a:solidFill>
                <a:srgbClr val="000000"/>
              </a:solidFill>
              <a:latin typeface="Arial"/>
              <a:ea typeface="Arial"/>
              <a:cs typeface="Arial"/>
            </a:rPr>
            <a:t>http://www.bitzer.de/home/index.php?LNG=EN&amp;CTR=AUS&amp;CMP=AUS&amp;NAV=1&amp;
</a:t>
          </a:r>
          <a:r>
            <a:rPr lang="en-US" cap="none" sz="1000" b="0" i="0" u="none" baseline="0">
              <a:solidFill>
                <a:srgbClr val="000000"/>
              </a:solidFill>
              <a:latin typeface="Arial"/>
              <a:ea typeface="Arial"/>
              <a:cs typeface="Arial"/>
            </a:rPr>
            <a:t>York (http://www.frickcold.com/ , Stahl, Sabroe)
</a:t>
          </a:r>
          <a:r>
            <a:rPr lang="en-US" cap="none" sz="1000" b="0" i="0" u="none" baseline="0">
              <a:solidFill>
                <a:srgbClr val="000000"/>
              </a:solidFill>
              <a:latin typeface="Arial"/>
              <a:ea typeface="Arial"/>
              <a:cs typeface="Arial"/>
            </a:rPr>
            <a:t>Howden, Grusso, Hitachi, Frascold, Hanbell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Contractors
</a:t>
          </a:r>
          <a:r>
            <a:rPr lang="en-US" cap="none" sz="1000" b="0" i="0" u="none" baseline="0">
              <a:solidFill>
                <a:srgbClr val="000000"/>
              </a:solidFill>
              <a:latin typeface="Arial"/>
              <a:ea typeface="Arial"/>
              <a:cs typeface="Arial"/>
            </a:rPr>
            <a:t>http://www.gordonrefrig.com.au/ Part of Hastie Group http://www.hastiegroup.com.au/
</a:t>
          </a:r>
          <a:r>
            <a:rPr lang="en-US" cap="none" sz="1000" b="0" i="0" u="none" baseline="0">
              <a:solidFill>
                <a:srgbClr val="000000"/>
              </a:solidFill>
              <a:latin typeface="Arial"/>
              <a:ea typeface="Arial"/>
              <a:cs typeface="Arial"/>
            </a:rPr>
            <a:t>http://www.ttrefrig.com.au/ 
</a:t>
          </a:r>
          <a:r>
            <a:rPr lang="en-US" cap="none" sz="1000" b="0" i="0" u="none" baseline="0">
              <a:solidFill>
                <a:srgbClr val="000000"/>
              </a:solidFill>
              <a:latin typeface="Arial"/>
              <a:ea typeface="Arial"/>
              <a:cs typeface="Arial"/>
            </a:rPr>
            <a:t>http://www.coldlogic.com.au/ 
</a:t>
          </a:r>
          <a:r>
            <a:rPr lang="en-US" cap="none" sz="1000" b="0" i="0" u="none" baseline="0">
              <a:solidFill>
                <a:srgbClr val="000000"/>
              </a:solidFill>
              <a:latin typeface="Arial"/>
              <a:ea typeface="Arial"/>
              <a:cs typeface="Arial"/>
            </a:rPr>
            <a:t>http://www.fourair.com/
</a:t>
          </a:r>
          <a:r>
            <a:rPr lang="en-US" cap="none" sz="1000" b="0" i="0" u="none" baseline="0">
              <a:solidFill>
                <a:srgbClr val="000000"/>
              </a:solidFill>
              <a:latin typeface="Arial"/>
              <a:ea typeface="Arial"/>
              <a:cs typeface="Arial"/>
            </a:rPr>
            <a:t>http://www.heuch.com.au/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Components
</a:t>
          </a:r>
          <a:r>
            <a:rPr lang="en-US" cap="none" sz="1000" b="0" i="0" u="none" baseline="0">
              <a:solidFill>
                <a:srgbClr val="000000"/>
              </a:solidFill>
              <a:latin typeface="Arial"/>
              <a:ea typeface="Arial"/>
              <a:cs typeface="Arial"/>
            </a:rPr>
            <a:t>http://www.apv.com/us/eng/APV+Home.htm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Bodies
</a:t>
          </a:r>
          <a:r>
            <a:rPr lang="en-US" cap="none" sz="1000" b="0" i="0" u="none" baseline="0">
              <a:solidFill>
                <a:srgbClr val="000000"/>
              </a:solidFill>
              <a:latin typeface="Arial"/>
              <a:ea typeface="Arial"/>
              <a:cs typeface="Arial"/>
            </a:rPr>
            <a:t>http://www.iiar.org/ International Institute of Ammonia Refrigeration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9525</xdr:rowOff>
    </xdr:from>
    <xdr:to>
      <xdr:col>11</xdr:col>
      <xdr:colOff>0</xdr:colOff>
      <xdr:row>17</xdr:row>
      <xdr:rowOff>85725</xdr:rowOff>
    </xdr:to>
    <xdr:sp>
      <xdr:nvSpPr>
        <xdr:cNvPr id="1" name="Text Box 14"/>
        <xdr:cNvSpPr txBox="1">
          <a:spLocks noChangeArrowheads="1"/>
        </xdr:cNvSpPr>
      </xdr:nvSpPr>
      <xdr:spPr>
        <a:xfrm>
          <a:off x="9525" y="4238625"/>
          <a:ext cx="7134225" cy="72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The above data came from MEPS, Self Contained Commercial Refrigeration,  2000 &amp; MEPS, Icemakers, 2004, Mark Ellis &amp; Ass.  This data would provide a good base for further analysis as was derived from various MEPS discussions.  In the meantime have estimated Total Energy Consumed by self contained commercial refrigeration equipment to be </a:t>
          </a:r>
          <a:r>
            <a:rPr lang="en-US" cap="none" sz="1000" b="1" i="0" u="none" baseline="0">
              <a:solidFill>
                <a:srgbClr val="000000"/>
              </a:solidFill>
              <a:latin typeface="Arial"/>
              <a:ea typeface="Arial"/>
              <a:cs typeface="Arial"/>
            </a:rPr>
            <a:t>2,680 GWh/a in 2006</a:t>
          </a:r>
          <a:r>
            <a:rPr lang="en-US" cap="none" sz="1000" b="0" i="0" u="none" baseline="0">
              <a:solidFill>
                <a:srgbClr val="000000"/>
              </a:solidFill>
              <a:latin typeface="Arial"/>
              <a:ea typeface="Arial"/>
              <a:cs typeface="Arial"/>
            </a:rPr>
            <a:t>.  Based on estimate in Ellis report of 2,200 GWh/a &amp; applying a 4.8% growth rate.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9</xdr:col>
      <xdr:colOff>666750</xdr:colOff>
      <xdr:row>44</xdr:row>
      <xdr:rowOff>152400</xdr:rowOff>
    </xdr:to>
    <xdr:sp>
      <xdr:nvSpPr>
        <xdr:cNvPr id="1" name="Text Box 1"/>
        <xdr:cNvSpPr txBox="1">
          <a:spLocks noChangeArrowheads="1"/>
        </xdr:cNvSpPr>
      </xdr:nvSpPr>
      <xdr:spPr>
        <a:xfrm>
          <a:off x="0" y="5876925"/>
          <a:ext cx="7886700" cy="17621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Comments:
</a:t>
          </a:r>
          <a:r>
            <a:rPr lang="en-US" cap="none" sz="1000" b="0" i="0" u="none" baseline="0">
              <a:solidFill>
                <a:srgbClr val="000000"/>
              </a:solidFill>
              <a:latin typeface="Arial"/>
              <a:ea typeface="Arial"/>
              <a:cs typeface="Arial"/>
            </a:rPr>
            <a:t>There is a history of a lack of available information in the Auto Air industry, including an attempt to undertake a study by Price Waterhouse.  Unfortuantely, the researcher was unable to gain the confidence of the industry &amp; failed to collect information of any significance.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Plan recommended by VASA
</a:t>
          </a:r>
          <a:r>
            <a:rPr lang="en-US" cap="none" sz="1000" b="0" i="0" u="none" baseline="0">
              <a:solidFill>
                <a:srgbClr val="000000"/>
              </a:solidFill>
              <a:latin typeface="Arial"/>
              <a:ea typeface="Arial"/>
              <a:cs typeface="Arial"/>
            </a:rPr>
            <a:t>Step 1: Collect base information
</a:t>
          </a:r>
          <a:r>
            <a:rPr lang="en-US" cap="none" sz="1000" b="0" i="0" u="none" baseline="0">
              <a:solidFill>
                <a:srgbClr val="000000"/>
              </a:solidFill>
              <a:latin typeface="Arial"/>
              <a:ea typeface="Arial"/>
              <a:cs typeface="Arial"/>
            </a:rPr>
            <a:t>Step 2: Target areas of interest with Focus Groups (ie half a dozen people who live &amp; breath auto air), plus surveys to members
</a:t>
          </a:r>
          <a:r>
            <a:rPr lang="en-US" cap="none" sz="1000" b="0" i="0" u="none" baseline="0">
              <a:solidFill>
                <a:srgbClr val="000000"/>
              </a:solidFill>
              <a:latin typeface="Arial"/>
              <a:ea typeface="Arial"/>
              <a:cs typeface="Arial"/>
            </a:rPr>
            <a:t>Step 3: Overview review by keystakeholders in Auto Air industry
</a:t>
          </a:r>
          <a:r>
            <a:rPr lang="en-US" cap="none" sz="1000" b="0" i="0" u="none" baseline="0">
              <a:solidFill>
                <a:srgbClr val="000000"/>
              </a:solidFill>
              <a:latin typeface="Arial"/>
              <a:ea typeface="Arial"/>
              <a:cs typeface="Arial"/>
            </a:rPr>
            <a:t>VASA would fully support this process</a:t>
          </a:r>
        </a:p>
      </xdr:txBody>
    </xdr:sp>
    <xdr:clientData/>
  </xdr:twoCellAnchor>
  <xdr:twoCellAnchor>
    <xdr:from>
      <xdr:col>12</xdr:col>
      <xdr:colOff>104775</xdr:colOff>
      <xdr:row>15</xdr:row>
      <xdr:rowOff>161925</xdr:rowOff>
    </xdr:from>
    <xdr:to>
      <xdr:col>18</xdr:col>
      <xdr:colOff>476250</xdr:colOff>
      <xdr:row>70</xdr:row>
      <xdr:rowOff>76200</xdr:rowOff>
    </xdr:to>
    <xdr:sp>
      <xdr:nvSpPr>
        <xdr:cNvPr id="2" name="Text Box 2"/>
        <xdr:cNvSpPr txBox="1">
          <a:spLocks noChangeArrowheads="1"/>
        </xdr:cNvSpPr>
      </xdr:nvSpPr>
      <xdr:spPr>
        <a:xfrm>
          <a:off x="9963150" y="2857500"/>
          <a:ext cx="5895975" cy="8915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V</a:t>
          </a:r>
          <a:r>
            <a:rPr lang="en-US" cap="none" sz="1000" b="1" i="0" u="none" baseline="0">
              <a:solidFill>
                <a:srgbClr val="000000"/>
              </a:solidFill>
              <a:latin typeface="Arial"/>
              <a:ea typeface="Arial"/>
              <a:cs typeface="Arial"/>
            </a:rPr>
            <a:t>ehicles in the garage with AC</a:t>
          </a:r>
          <a:r>
            <a:rPr lang="en-US" cap="none" sz="1000" b="0" i="0" u="none" baseline="0">
              <a:solidFill>
                <a:srgbClr val="000000"/>
              </a:solidFill>
              <a:latin typeface="Arial"/>
              <a:ea typeface="Arial"/>
              <a:cs typeface="Arial"/>
            </a:rPr>
            <a:t>, source ABS4602.0 Environmental Views: People's Views &amp; Practices, 2006
</a:t>
          </a:r>
          <a:r>
            <a:rPr lang="en-US" cap="none" sz="1000" b="0" i="0" u="none" baseline="0">
              <a:solidFill>
                <a:srgbClr val="000000"/>
              </a:solidFill>
              <a:latin typeface="Arial"/>
              <a:ea typeface="Arial"/>
              <a:cs typeface="Arial"/>
            </a:rPr>
            <a:t>pp 8, In March 2006, 90% of households in Australia kept at least one registered motor vehicle in their garage or dwelling and 51% had two or more. The majority (92%) of these registered motor vehicles in the garage have airconditioning.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 of Passenger Vehicles in Australia in 2006:- 11,188,880
</a:t>
          </a:r>
          <a:r>
            <a:rPr lang="en-US" cap="none" sz="1000" b="0" i="0" u="none" baseline="0">
              <a:solidFill>
                <a:srgbClr val="000000"/>
              </a:solidFill>
              <a:latin typeface="Arial"/>
              <a:ea typeface="Arial"/>
              <a:cs typeface="Arial"/>
            </a:rPr>
            <a:t>ABS: http://www.abs.gov.au/AUSSTATS/abs@.nsf/productsbyCatalogue/06D0E28CD6E66B8ACA2568A900139408?OpenDocument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pp 49, Airconditioning has become a standard feature in motor vehicles across Australia. In April 1996, 72% of motor vehicles in Australia had airconditioning. In March 2006, however, the proportion has increased significantly to 92%. Motor vehicles without airconditioning were most likely to be found in Tasmania (only 79% of households), but this level has more than doubled since 1996 (37%) (graph 3.6 and table 3.13, pp 57, Number of Registerd Motor Vehicles with Air Conditioning, 1996:2006).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pp 53, Total no of registered motor vehicles kept in 7,944,700 kept in dwellings or garage, see Tables 3.8 &amp; 3.9.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Motor Vehicle Use, Fuel Consumption, </a:t>
          </a:r>
          <a:r>
            <a:rPr lang="en-US" cap="none" sz="1000" b="0" i="0" u="none" baseline="0">
              <a:solidFill>
                <a:srgbClr val="000000"/>
              </a:solidFill>
              <a:latin typeface="Arial"/>
              <a:ea typeface="Arial"/>
              <a:cs typeface="Arial"/>
            </a:rPr>
            <a:t>source ABS9208.0 Survey of Motor Vehicle Use, 2004
</a:t>
          </a:r>
          <a:r>
            <a:rPr lang="en-US" cap="none" sz="1000" b="0" i="0" u="none" baseline="0">
              <a:solidFill>
                <a:srgbClr val="000000"/>
              </a:solidFill>
              <a:latin typeface="Arial"/>
              <a:ea typeface="Arial"/>
              <a:cs typeface="Arial"/>
            </a:rPr>
            <a:t>Passenger vehicles used 14,882 million litres of petrol in the 12 months ended 31 October 2004, of which 94.2% (14,021 million litres) was unleaded petrol. A total of 5,384 million litres of diesel fuel was used by articulated and rigid trucks. This was 65.3% of all diesel fuel used and represents 100.0% and 97.9% respectively of fuel consumption for these vehicle types. The total fuel consumption by other vehicles in the 12 months ended 31 October 2004 included 4,471 million litres of fuel by light commercial vehicles and 524 million litres of fuel by buses.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Motor Vehicle Stats</a:t>
          </a:r>
          <a:r>
            <a:rPr lang="en-US" cap="none" sz="1000" b="0" i="0" u="none" baseline="0">
              <a:solidFill>
                <a:srgbClr val="000000"/>
              </a:solidFill>
              <a:latin typeface="Arial"/>
              <a:ea typeface="Arial"/>
              <a:cs typeface="Arial"/>
            </a:rPr>
            <a:t>, source ABS9309.0 Motor Vehicle Census, 2006, </a:t>
          </a:r>
          <a:r>
            <a:rPr lang="en-US" cap="none" sz="1000" b="0" i="1" u="none" baseline="0">
              <a:solidFill>
                <a:srgbClr val="000000"/>
              </a:solidFill>
              <a:latin typeface="Arial"/>
              <a:ea typeface="Arial"/>
              <a:cs typeface="Arial"/>
            </a:rPr>
            <a:t>(PB Can be used to update tables to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Air Conditioning Fuel Consumption</a:t>
          </a:r>
          <a:r>
            <a:rPr lang="en-US" cap="none" sz="1000" b="0" i="0" u="none" baseline="0">
              <a:solidFill>
                <a:srgbClr val="000000"/>
              </a:solidFill>
              <a:latin typeface="Arial"/>
              <a:ea typeface="Arial"/>
              <a:cs typeface="Arial"/>
            </a:rPr>
            <a:t>, </a:t>
          </a:r>
          <a:r>
            <a:rPr lang="en-US" cap="none" sz="1000" b="0" i="0" u="none" baseline="0">
              <a:solidFill>
                <a:srgbClr val="969696"/>
              </a:solidFill>
              <a:latin typeface="Arial"/>
              <a:ea typeface="Arial"/>
              <a:cs typeface="Arial"/>
            </a:rPr>
            <a:t>source www.mynrma.com.au, NRMA</a:t>
          </a:r>
          <a:r>
            <a:rPr lang="en-US" cap="none" sz="1000" b="0" i="0" u="none" baseline="0">
              <a:solidFill>
                <a:srgbClr val="969696"/>
              </a:solidFill>
              <a:latin typeface="맑은 고딕"/>
              <a:ea typeface="맑은 고딕"/>
              <a:cs typeface="맑은 고딕"/>
            </a:rPr>
            <a:t>’</a:t>
          </a:r>
          <a:r>
            <a:rPr lang="en-US" cap="none" sz="1000" b="0" i="0" u="none" baseline="0">
              <a:solidFill>
                <a:srgbClr val="969696"/>
              </a:solidFill>
              <a:latin typeface="Arial"/>
              <a:ea typeface="Arial"/>
              <a:cs typeface="Arial"/>
            </a:rPr>
            <a:t>s Top Tips for reducing emissions and petrol use, Tip 3. In urban areas when the weather is fine, switch-off the airconditioning and open the windows - this reduces fuel consumption by up to 10%. At higher speeds, open windows can create as much drag as airconditioning so there</a:t>
          </a:r>
          <a:r>
            <a:rPr lang="en-US" cap="none" sz="1000" b="0" i="0" u="none" baseline="0">
              <a:solidFill>
                <a:srgbClr val="969696"/>
              </a:solidFill>
              <a:latin typeface="맑은 고딕"/>
              <a:ea typeface="맑은 고딕"/>
              <a:cs typeface="맑은 고딕"/>
            </a:rPr>
            <a:t>’</a:t>
          </a:r>
          <a:r>
            <a:rPr lang="en-US" cap="none" sz="1000" b="0" i="0" u="none" baseline="0">
              <a:solidFill>
                <a:srgbClr val="969696"/>
              </a:solidFill>
              <a:latin typeface="Arial"/>
              <a:ea typeface="Arial"/>
              <a:cs typeface="Arial"/>
            </a:rPr>
            <a:t>s little advantage in turning airconditioning off. 
Source: http://www.iea.org/textbase/work/workshopdetail.asp?WS_ID=247, www.epa.gov/fueleconomy/420d06002.pdf
Average increase in fuel consumption of 26% for conventional (non-hybrid) vehicle while airconditioning on. This translates to 3-4% increase in annual city fuel consumption and 1-2% increase in highwa</a:t>
          </a:r>
          <a:r>
            <a:rPr lang="en-US" cap="none" sz="1000" b="0" i="0" u="none" baseline="0">
              <a:solidFill>
                <a:srgbClr val="000000"/>
              </a:solidFill>
              <a:latin typeface="Arial"/>
              <a:ea typeface="Arial"/>
              <a:cs typeface="Arial"/>
            </a:rPr>
            <a:t>y consumption.
Air Conditioning Refrigerant Leakage http://refrigerants.dupont.com/Suva/en_US/pdf/k10795.pdf
Main refrigerant is HFC-134a.  20% of in vehicle refrigerant stock is released to atmosphere each year: 6</a:t>
          </a:r>
          <a:r>
            <a:rPr lang="en-US" cap="none" sz="1000" b="0" i="0" u="none" baseline="0">
              <a:solidFill>
                <a:srgbClr val="000000"/>
              </a:solidFill>
              <a:latin typeface="Arial"/>
              <a:ea typeface="Arial"/>
              <a:cs typeface="Arial"/>
            </a:rPr>
            <a:t>0% from service and end-of-life; 40% from system leaks.
IEA study cites modern car aircon refrigerant charges (presumably from new) of 550-900g HFC-134a which i</a:t>
          </a:r>
          <a:r>
            <a:rPr lang="en-US" cap="none" sz="1000" b="0" i="0" u="none" baseline="0">
              <a:solidFill>
                <a:srgbClr val="000000"/>
              </a:solidFill>
              <a:latin typeface="Arial"/>
              <a:ea typeface="Arial"/>
              <a:cs typeface="Arial"/>
            </a:rPr>
            <a:t>s overcharged from the optimum of 250-300g. This overcharge is more than sufficient to cover the entire lifetime of the vehicle in normal conditions. Australian industry sources indicate about 700g initial charge.  We propose a reasonable figure for average in use charge of about 500g for stock estimation purposes.
www.iea.org/textbase/work/2006/car_cooling/Session3/3b%20Clodic%20New%20evidence%20on%20leakage.pdf
in w</a:t>
          </a:r>
          <a:r>
            <a:rPr lang="en-US" cap="none" sz="1000" b="0" i="0" u="none" baseline="0">
              <a:solidFill>
                <a:srgbClr val="000000"/>
              </a:solidFill>
              <a:latin typeface="Arial"/>
              <a:ea typeface="Arial"/>
              <a:cs typeface="Arial"/>
            </a:rPr>
            <a:t>ww.iea.org/Textbase/work/workshopdetail.asp?WS_ID=247
Av.</a:t>
          </a:r>
          <a:r>
            <a:rPr lang="en-US" cap="none" sz="1000" b="1" i="0" u="none" baseline="0">
              <a:solidFill>
                <a:srgbClr val="000000"/>
              </a:solidFill>
              <a:latin typeface="Arial"/>
              <a:ea typeface="Arial"/>
              <a:cs typeface="Arial"/>
            </a:rPr>
            <a:t> Age of Vehicles on road, s</a:t>
          </a:r>
          <a:r>
            <a:rPr lang="en-US" cap="none" sz="1000" b="0" i="0" u="none" baseline="0">
              <a:solidFill>
                <a:srgbClr val="000000"/>
              </a:solidFill>
              <a:latin typeface="Arial"/>
              <a:ea typeface="Arial"/>
              <a:cs typeface="Arial"/>
            </a:rPr>
            <a:t>ource ABS9309.0 Motor Vehicle Sensis, 2006
Cam</a:t>
          </a:r>
          <a:r>
            <a:rPr lang="en-US" cap="none" sz="1000" b="0" i="0" u="none" baseline="0">
              <a:solidFill>
                <a:srgbClr val="000000"/>
              </a:solidFill>
              <a:latin typeface="Arial"/>
              <a:ea typeface="Arial"/>
              <a:cs typeface="Arial"/>
            </a:rPr>
            <a:t>pervans were the oldest vehicles registered with an average age of 18.9 years, while motorcycles were the youngest vehicle type with an average age of 9.4 years.  The average age of passenger vehicles dropped slightly from 10.1 years in 2002 to 9.8 years in 2006, with 21.0% of passenger vehicles manufactured before 1991.  Includes buses, all categories of trucks, etc.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9525</xdr:rowOff>
    </xdr:from>
    <xdr:to>
      <xdr:col>13</xdr:col>
      <xdr:colOff>600075</xdr:colOff>
      <xdr:row>31</xdr:row>
      <xdr:rowOff>85725</xdr:rowOff>
    </xdr:to>
    <xdr:sp>
      <xdr:nvSpPr>
        <xdr:cNvPr id="1" name="Text Box 1"/>
        <xdr:cNvSpPr txBox="1">
          <a:spLocks noChangeArrowheads="1"/>
        </xdr:cNvSpPr>
      </xdr:nvSpPr>
      <xdr:spPr>
        <a:xfrm>
          <a:off x="0" y="2514600"/>
          <a:ext cx="11744325" cy="2667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*"The estimated 13 million of refrigerators and freezers household refrigerators (</a:t>
          </a:r>
          <a:r>
            <a:rPr lang="en-US" cap="none" sz="1000" b="0" i="1" u="none" baseline="0">
              <a:solidFill>
                <a:srgbClr val="000000"/>
              </a:solidFill>
              <a:latin typeface="Arial"/>
              <a:ea typeface="Arial"/>
              <a:cs typeface="Arial"/>
            </a:rPr>
            <a:t>in Australia</a:t>
          </a:r>
          <a:r>
            <a:rPr lang="en-US" cap="none" sz="1000" b="0" i="0" u="none" baseline="0">
              <a:solidFill>
                <a:srgbClr val="000000"/>
              </a:solidFill>
              <a:latin typeface="Arial"/>
              <a:ea typeface="Arial"/>
              <a:cs typeface="Arial"/>
            </a:rPr>
            <a:t>) use about 24% of the electricity consumed by all domestic electrical appliances, equaling lighting (Energy Efficient Strategies, 2006; James, 2003). Refrigerators and freezers were estimated to account for nearly 17% of all greenhouse gas emissions in 2000. Although Australia has developed minimum energy performance standards for domestic refrigeration, there is still considerable technical potential to improve the energy efficiency of refrigerated appliances."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Original work quoted in 'ELECTRICITY USAGE IN THE AUSTRALIAN COLD CHAIN'
</a:t>
          </a:r>
          <a:r>
            <a:rPr lang="en-US" cap="none" sz="1000" b="0" i="0" u="none" baseline="0">
              <a:solidFill>
                <a:srgbClr val="000000"/>
              </a:solidFill>
              <a:latin typeface="Arial"/>
              <a:ea typeface="Arial"/>
              <a:cs typeface="Arial"/>
            </a:rPr>
            <a:t>Silvia Estrada-Flores1, PhD and Glenn Platt2, PhD
</a:t>
          </a:r>
          <a:r>
            <a:rPr lang="en-US" cap="none" sz="1000" b="0" i="0" u="none" baseline="0">
              <a:solidFill>
                <a:srgbClr val="000000"/>
              </a:solidFill>
              <a:latin typeface="Arial"/>
              <a:ea typeface="Arial"/>
              <a:cs typeface="Arial"/>
            </a:rPr>
            <a:t>Food Science Australia (a joint venture of CSIRO and the Victorian Government). 
</a:t>
          </a:r>
          <a:r>
            <a:rPr lang="en-US" cap="none" sz="1000" b="0" i="0" u="none" baseline="0">
              <a:solidFill>
                <a:srgbClr val="000000"/>
              </a:solidFill>
              <a:latin typeface="Arial"/>
              <a:ea typeface="Arial"/>
              <a:cs typeface="Arial"/>
            </a:rPr>
            <a:t>PO Box 52, North Ryde NSW 1670, Australia
</a:t>
          </a:r>
          <a:r>
            <a:rPr lang="en-US" cap="none" sz="1000" b="0" i="0" u="none" baseline="0">
              <a:solidFill>
                <a:srgbClr val="000000"/>
              </a:solidFill>
              <a:latin typeface="Arial"/>
              <a:ea typeface="Arial"/>
              <a:cs typeface="Arial"/>
            </a:rPr>
            <a:t>NB - No time was invested in the course of the 'Chilling Insights' project to further validate this original estimate.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Australia, household refrigeration accounted for about 8,330 GWh of electricity use and 9.06 million tonnes of carbon dioxide-equivalent (Mt CO2-e) emissions in 2000 (Energy Consult, 2006). About 20% of this was due to freezers, and 80% to refrigerators (fresh food only) and refrigerator-freezers. Considering that refrigerator and freezer sales have increased by 2.6% per year (Energy Efficient Strategies, 2006), estimates for 2005 would be closer to 9,470 GWh per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Orignal work quoted by CSIRO Division of Energy Technology. PO Box 330. Newcastle, NSW 2300 Australia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^http://www.abs.gov.au/ausstats/abs@.nsf/Previousproducts/1F455D0207F68721CA2570DE00185F72?opendocument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6</xdr:col>
      <xdr:colOff>600075</xdr:colOff>
      <xdr:row>28</xdr:row>
      <xdr:rowOff>114300</xdr:rowOff>
    </xdr:to>
    <xdr:sp>
      <xdr:nvSpPr>
        <xdr:cNvPr id="1" name="Text Box 16"/>
        <xdr:cNvSpPr txBox="1">
          <a:spLocks noChangeArrowheads="1"/>
        </xdr:cNvSpPr>
      </xdr:nvSpPr>
      <xdr:spPr>
        <a:xfrm>
          <a:off x="9525" y="3114675"/>
          <a:ext cx="6105525" cy="2057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The above data was provided by market leaders/suppliers &amp; has been used to check data or assumptions in other work-sheets.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example annual AC equipment sales data cross checked with 63,000 A/C compressors sold p.a. in Aust in 2006 by market leader.
</a:t>
          </a:r>
          <a:r>
            <a:rPr lang="en-US" cap="none" sz="1000" b="0" i="0" u="none" baseline="0">
              <a:solidFill>
                <a:srgbClr val="000000"/>
              </a:solidFill>
              <a:latin typeface="Arial"/>
              <a:ea typeface="Arial"/>
              <a:cs typeface="Arial"/>
            </a:rPr>
            <a:t>Split System Applications = 148,217 p.a. x 0.3 locally manf. x 1 per unit x 0.95 market share= 42,242
</a:t>
          </a:r>
          <a:r>
            <a:rPr lang="en-US" cap="none" sz="1000" b="0" i="0" u="none" baseline="0">
              <a:solidFill>
                <a:srgbClr val="000000"/>
              </a:solidFill>
              <a:latin typeface="Arial"/>
              <a:ea typeface="Arial"/>
              <a:cs typeface="Arial"/>
            </a:rPr>
            <a:t>RT Packages Applications = 5,194 p.a. x 0.6 locally manf. x 3 per unit x 0.7 market share = 6,544
</a:t>
          </a:r>
          <a:r>
            <a:rPr lang="en-US" cap="none" sz="1000" b="0" i="0" u="none" baseline="0">
              <a:solidFill>
                <a:srgbClr val="000000"/>
              </a:solidFill>
              <a:latin typeface="Arial"/>
              <a:ea typeface="Arial"/>
              <a:cs typeface="Arial"/>
            </a:rPr>
            <a:t>Spares = 0.12 x 63,000 = 7,560
</a:t>
          </a:r>
          <a:r>
            <a:rPr lang="en-US" cap="none" sz="1000" b="0" i="0" u="none" baseline="0">
              <a:solidFill>
                <a:srgbClr val="000000"/>
              </a:solidFill>
              <a:latin typeface="Arial"/>
              <a:ea typeface="Arial"/>
              <a:cs typeface="Arial"/>
            </a:rPr>
            <a:t>Swimming Pool HP = 900 x 0.95 = 855
</a:t>
          </a:r>
          <a:r>
            <a:rPr lang="en-US" cap="none" sz="1000" b="0" i="0" u="none" baseline="0">
              <a:solidFill>
                <a:srgbClr val="000000"/>
              </a:solidFill>
              <a:latin typeface="Arial"/>
              <a:ea typeface="Arial"/>
              <a:cs typeface="Arial"/>
            </a:rPr>
            <a:t>Other Manufactured Applications = 5,799 = less than 10%
</a:t>
          </a:r>
          <a:r>
            <a:rPr lang="en-US" cap="none" sz="1000" b="0" i="0" u="none" baseline="0">
              <a:solidFill>
                <a:srgbClr val="000000"/>
              </a:solidFill>
              <a:latin typeface="Arial"/>
              <a:ea typeface="Arial"/>
              <a:cs typeface="Arial"/>
            </a:rPr>
            <a:t>Confirms annual data for Split Systems &amp; RT Packages is correct order of magnitude &amp; study has not overlooked more than 10% of miscellaneous applications using A/C compressors
</a:t>
          </a:r>
          <a:r>
            <a:rPr lang="en-US" cap="none" sz="10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123825</xdr:colOff>
      <xdr:row>5</xdr:row>
      <xdr:rowOff>95250</xdr:rowOff>
    </xdr:to>
    <xdr:sp>
      <xdr:nvSpPr>
        <xdr:cNvPr id="1" name="Text Box 1"/>
        <xdr:cNvSpPr txBox="1">
          <a:spLocks noChangeArrowheads="1"/>
        </xdr:cNvSpPr>
      </xdr:nvSpPr>
      <xdr:spPr>
        <a:xfrm>
          <a:off x="9525" y="0"/>
          <a:ext cx="4991100" cy="904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Volumes and approximate values of bulk refrigerant gas imports is available. Requests have been made to get industry estimates of the proportion of various end uses. Without that information the import volumes do not add much understanding to the rest of the data.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11</xdr:col>
      <xdr:colOff>9525</xdr:colOff>
      <xdr:row>76</xdr:row>
      <xdr:rowOff>28575</xdr:rowOff>
    </xdr:to>
    <xdr:sp>
      <xdr:nvSpPr>
        <xdr:cNvPr id="1" name="Text Box 30"/>
        <xdr:cNvSpPr txBox="1">
          <a:spLocks noChangeArrowheads="1"/>
        </xdr:cNvSpPr>
      </xdr:nvSpPr>
      <xdr:spPr>
        <a:xfrm>
          <a:off x="0" y="7524750"/>
          <a:ext cx="7562850" cy="5695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ABS Import Data Obtained (mix of old &amp; new codes due to changes)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Obtained data on new codes 8415100037, 8415100038, 8415100039, 8415100049 includes Window or wall type split systems (all kW sizes covered by codes) for Years 2006, 2005, 2004, 2003, 2002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Plus data on old codes 8415820061, Air Conditioning incorporating a refrigerating unit 8415100045, 8415100046, 8415100047, 8415100048 includes Window/wall type air cond. machines, self-contained (all kW sizes covered by codes) for Years 2001, 2000, 1999, 1998, 1997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Import code descriptors &amp; history is listed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 10 digit codes and their descriptors:
</a:t>
          </a:r>
          <a:r>
            <a:rPr lang="en-US" cap="none" sz="1000" b="0" i="0" u="none" baseline="0">
              <a:solidFill>
                <a:srgbClr val="000000"/>
              </a:solidFill>
              <a:latin typeface="Arial"/>
              <a:ea typeface="Arial"/>
              <a:cs typeface="Arial"/>
            </a:rPr>
            <a:t>8415100037 Window or wall-type self contained or split system air conditioning machines less than 3 kW
</a:t>
          </a:r>
          <a:r>
            <a:rPr lang="en-US" cap="none" sz="1000" b="0" i="0" u="none" baseline="0">
              <a:solidFill>
                <a:srgbClr val="000000"/>
              </a:solidFill>
              <a:latin typeface="Arial"/>
              <a:ea typeface="Arial"/>
              <a:cs typeface="Arial"/>
            </a:rPr>
            <a:t>8415100038 Window or wall-type self contained or split system air conditioning machines 3 kW or more but less than 4 kW
</a:t>
          </a:r>
          <a:r>
            <a:rPr lang="en-US" cap="none" sz="1000" b="0" i="0" u="none" baseline="0">
              <a:solidFill>
                <a:srgbClr val="000000"/>
              </a:solidFill>
              <a:latin typeface="Arial"/>
              <a:ea typeface="Arial"/>
              <a:cs typeface="Arial"/>
            </a:rPr>
            <a:t>8415100039 Window or wall-type self contained or split system air conditioning machines 4 kW or more but less than 5 kW
</a:t>
          </a:r>
          <a:r>
            <a:rPr lang="en-US" cap="none" sz="1000" b="0" i="0" u="none" baseline="0">
              <a:solidFill>
                <a:srgbClr val="000000"/>
              </a:solidFill>
              <a:latin typeface="Arial"/>
              <a:ea typeface="Arial"/>
              <a:cs typeface="Arial"/>
            </a:rPr>
            <a:t>8415100049 Window or wall-type self contained or split system air conditioning machines 5 kW or more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Code history:
</a:t>
          </a:r>
          <a:r>
            <a:rPr lang="en-US" cap="none" sz="1000" b="0" i="0" u="none" baseline="0">
              <a:solidFill>
                <a:srgbClr val="000000"/>
              </a:solidFill>
              <a:latin typeface="Arial"/>
              <a:ea typeface="Arial"/>
              <a:cs typeface="Arial"/>
            </a:rPr>
            <a:t>8415100037 This code commenced on 1/1/2002; the previous codes were 8415820061 and 8415100045, both of which ceased on 31/12/2006
</a:t>
          </a:r>
          <a:r>
            <a:rPr lang="en-US" cap="none" sz="1000" b="0" i="0" u="none" baseline="0">
              <a:solidFill>
                <a:srgbClr val="000000"/>
              </a:solidFill>
              <a:latin typeface="Arial"/>
              <a:ea typeface="Arial"/>
              <a:cs typeface="Arial"/>
            </a:rPr>
            <a:t>8415100038 This code commenced on 1/1/2002; the previous codes were 8415820061 and 8415100046, both of which ceased on 31/12/2006
</a:t>
          </a:r>
          <a:r>
            <a:rPr lang="en-US" cap="none" sz="1000" b="0" i="0" u="none" baseline="0">
              <a:solidFill>
                <a:srgbClr val="000000"/>
              </a:solidFill>
              <a:latin typeface="Arial"/>
              <a:ea typeface="Arial"/>
              <a:cs typeface="Arial"/>
            </a:rPr>
            <a:t>8415100039 This code commenced on 1/1/2002; the previous codes were 8415820061 and 8415100047, both of which ceased on 31/12/2006
</a:t>
          </a:r>
          <a:r>
            <a:rPr lang="en-US" cap="none" sz="1000" b="0" i="0" u="none" baseline="0">
              <a:solidFill>
                <a:srgbClr val="000000"/>
              </a:solidFill>
              <a:latin typeface="Arial"/>
              <a:ea typeface="Arial"/>
              <a:cs typeface="Arial"/>
            </a:rPr>
            <a:t>8415100049 This code commenced on 1/1/2002; the previous codes were 8415820061 and 8415100048, both of which ceased on 31/12/2006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Previous 10 digit codes and their descriptors:
</a:t>
          </a:r>
          <a:r>
            <a:rPr lang="en-US" cap="none" sz="1000" b="0" i="0" u="none" baseline="0">
              <a:solidFill>
                <a:srgbClr val="000000"/>
              </a:solidFill>
              <a:latin typeface="Arial"/>
              <a:ea typeface="Arial"/>
              <a:cs typeface="Arial"/>
            </a:rPr>
            <a:t>8415820061 Air conditioning machines incorporating a refrigerating unit (excl. those  for use in motor vehicles, window or wall types, self-contained, and those incorporating a refrigerating unit and a valve for reversal of the cooling/heat cycle)
</a:t>
          </a:r>
          <a:r>
            <a:rPr lang="en-US" cap="none" sz="1000" b="0" i="0" u="none" baseline="0">
              <a:solidFill>
                <a:srgbClr val="000000"/>
              </a:solidFill>
              <a:latin typeface="Arial"/>
              <a:ea typeface="Arial"/>
              <a:cs typeface="Arial"/>
            </a:rPr>
            <a:t>8415100045 Window/wall type air cond. machines, self-contained, not exc 3.0 kW, comprising a motor-driven fan &amp; elements for changing the temp. &amp; humidity (incl those machines in which the humidity cannot be separately regulated)
</a:t>
          </a:r>
          <a:r>
            <a:rPr lang="en-US" cap="none" sz="1000" b="0" i="0" u="none" baseline="0">
              <a:solidFill>
                <a:srgbClr val="000000"/>
              </a:solidFill>
              <a:latin typeface="Arial"/>
              <a:ea typeface="Arial"/>
              <a:cs typeface="Arial"/>
            </a:rPr>
            <a:t>8415100046 Window/wall type air cond. machines, self-contained, exc 3.0 kW, but not exc 4.0 kW, comprising a motor-driven fan &amp; elements for changing temp. &amp; humid (incl those machines in which the humid cannot be separately regulated)
</a:t>
          </a:r>
          <a:r>
            <a:rPr lang="en-US" cap="none" sz="1000" b="0" i="0" u="none" baseline="0">
              <a:solidFill>
                <a:srgbClr val="000000"/>
              </a:solidFill>
              <a:latin typeface="Arial"/>
              <a:ea typeface="Arial"/>
              <a:cs typeface="Arial"/>
            </a:rPr>
            <a:t>8415100047 Window/wall type air cond. machines, self-contained, exc 4.0 kW, but not exc 5.0 kW, comprising a motor-driven fan &amp; elements for changing temp. &amp; humidity (incl those machines in which the humid cannot be separately regulated)
</a:t>
          </a:r>
          <a:r>
            <a:rPr lang="en-US" cap="none" sz="1000" b="0" i="0" u="none" baseline="0">
              <a:solidFill>
                <a:srgbClr val="000000"/>
              </a:solidFill>
              <a:latin typeface="Arial"/>
              <a:ea typeface="Arial"/>
              <a:cs typeface="Arial"/>
            </a:rPr>
            <a:t>8415100048 Window/wall type air cond. machines, self-contained, exc 5.0 kW, comprising a motor-driven fan &amp; elements for changing temp. &amp; humidity (incl those machines in which the humidity cannot be separately regulated)
</a:t>
          </a:r>
        </a:p>
      </xdr:txBody>
    </xdr:sp>
    <xdr:clientData/>
  </xdr:twoCellAnchor>
  <xdr:twoCellAnchor>
    <xdr:from>
      <xdr:col>9</xdr:col>
      <xdr:colOff>276225</xdr:colOff>
      <xdr:row>4</xdr:row>
      <xdr:rowOff>0</xdr:rowOff>
    </xdr:from>
    <xdr:to>
      <xdr:col>17</xdr:col>
      <xdr:colOff>0</xdr:colOff>
      <xdr:row>9</xdr:row>
      <xdr:rowOff>19050</xdr:rowOff>
    </xdr:to>
    <xdr:sp>
      <xdr:nvSpPr>
        <xdr:cNvPr id="2" name="Text Box 31"/>
        <xdr:cNvSpPr txBox="1">
          <a:spLocks noChangeArrowheads="1"/>
        </xdr:cNvSpPr>
      </xdr:nvSpPr>
      <xdr:spPr>
        <a:xfrm>
          <a:off x="5791200" y="1209675"/>
          <a:ext cx="5572125" cy="828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Existing Stock Calculations &amp; assumptions: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Assumed 100% systems were in service for the nominal warranty period (for domestic applications) then discounted the % in service to a typical life span. 
</a:t>
          </a:r>
          <a:r>
            <a:rPr lang="en-US" cap="none" sz="1000" b="0" i="0" u="none" baseline="0">
              <a:solidFill>
                <a:srgbClr val="000000"/>
              </a:solidFill>
              <a:latin typeface="Arial"/>
              <a:ea typeface="Arial"/>
              <a:cs typeface="Arial"/>
            </a:rPr>
            <a:t>Split Systems (Warranty period: majors = 5 yrs/minors = 3 yrs, used 4 yrs), then discounted to 70% at 10 years &amp; 60% at 12 years)
</a:t>
          </a:r>
          <a:r>
            <a:rPr lang="en-US" cap="none" sz="1000" b="0" i="0" u="none" baseline="0">
              <a:solidFill>
                <a:srgbClr val="000000"/>
              </a:solidFill>
              <a:latin typeface="Arial"/>
              <a:ea typeface="Arial"/>
              <a:cs typeface="Arial"/>
            </a:rPr>
            <a:t>WHS Systems (Warranty period: majors = 5 yrs/minors = 3 yrs, used 4 yrs), then discounted to 60% at 10 years
</a:t>
          </a:r>
          <a:r>
            <a:rPr lang="en-US" cap="none" sz="1000" b="0" i="0" u="none" baseline="0">
              <a:solidFill>
                <a:srgbClr val="000000"/>
              </a:solidFill>
              <a:latin typeface="Arial"/>
              <a:ea typeface="Arial"/>
              <a:cs typeface="Arial"/>
            </a:rPr>
            <a:t>Window/Wall (Warranty period: 3 yrs), then discounted to 65% at 10 years &amp; 55% at 12 years)
</a:t>
          </a:r>
          <a:r>
            <a:rPr lang="en-US" cap="none" sz="1000" b="0" i="0" u="none" baseline="0">
              <a:solidFill>
                <a:srgbClr val="000000"/>
              </a:solidFill>
              <a:latin typeface="Arial"/>
              <a:ea typeface="Arial"/>
              <a:cs typeface="Arial"/>
            </a:rPr>
            <a:t>Evaporative Coolers (Warranty period: 3 yrs), then discounted to 70% at 10 years &amp; 60% at 12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Existing Stock can be subjective as units can still be installed, however not operated or only used occasionally (a good example of this is a wall unit replaced by a WHS System, wall units are rarely replaced in a domestic application as it involves re-plastering &amp; filling the external hole at a cost of $500 to $1,000).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is limited research in this area, however one reference is as follows:  
</a:t>
          </a:r>
          <a:r>
            <a:rPr lang="en-US" cap="none" sz="1000" b="0" i="0" u="none" baseline="0">
              <a:solidFill>
                <a:srgbClr val="000000"/>
              </a:solidFill>
              <a:latin typeface="Arial"/>
              <a:ea typeface="Arial"/>
              <a:cs typeface="Arial"/>
            </a:rPr>
            <a:t>Status of AC in Australia, EES, 2005 pp12 Studies undertaken by Test Research in 1995 indicate the av. age of AC's to be 8 years, with the av, retirement age of 12 to 18 years (depending on installation, type), which was broadly consistent with BIS Shrapnel Data collected in 2004.  Until a more comprehensive study is undertaken intuition from industry Product Managers &amp; Service Managers is the best guide.</a:t>
          </a:r>
        </a:p>
      </xdr:txBody>
    </xdr:sp>
    <xdr:clientData/>
  </xdr:twoCellAnchor>
  <xdr:twoCellAnchor>
    <xdr:from>
      <xdr:col>10</xdr:col>
      <xdr:colOff>0</xdr:colOff>
      <xdr:row>13</xdr:row>
      <xdr:rowOff>19050</xdr:rowOff>
    </xdr:from>
    <xdr:to>
      <xdr:col>16</xdr:col>
      <xdr:colOff>714375</xdr:colOff>
      <xdr:row>15</xdr:row>
      <xdr:rowOff>85725</xdr:rowOff>
    </xdr:to>
    <xdr:sp>
      <xdr:nvSpPr>
        <xdr:cNvPr id="3" name="Text Box 32"/>
        <xdr:cNvSpPr txBox="1">
          <a:spLocks noChangeArrowheads="1"/>
        </xdr:cNvSpPr>
      </xdr:nvSpPr>
      <xdr:spPr>
        <a:xfrm>
          <a:off x="5800725" y="2686050"/>
          <a:ext cx="5553075" cy="390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WHS Systems (Warranty period: majors = 5 yrs/minors = 3 yrs, used 4 yrs), then discounted to 60% at 10 years
</a:t>
          </a:r>
        </a:p>
      </xdr:txBody>
    </xdr:sp>
    <xdr:clientData/>
  </xdr:twoCellAnchor>
  <xdr:twoCellAnchor>
    <xdr:from>
      <xdr:col>10</xdr:col>
      <xdr:colOff>0</xdr:colOff>
      <xdr:row>17</xdr:row>
      <xdr:rowOff>152400</xdr:rowOff>
    </xdr:from>
    <xdr:to>
      <xdr:col>16</xdr:col>
      <xdr:colOff>714375</xdr:colOff>
      <xdr:row>19</xdr:row>
      <xdr:rowOff>28575</xdr:rowOff>
    </xdr:to>
    <xdr:sp>
      <xdr:nvSpPr>
        <xdr:cNvPr id="4" name="Text Box 33"/>
        <xdr:cNvSpPr txBox="1">
          <a:spLocks noChangeArrowheads="1"/>
        </xdr:cNvSpPr>
      </xdr:nvSpPr>
      <xdr:spPr>
        <a:xfrm>
          <a:off x="5800725" y="3467100"/>
          <a:ext cx="5553075" cy="200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Window/Wall (Warranty period: 3 yrs), then discounted to 65% at 10 years &amp; 55% at 12 years)
</a:t>
          </a:r>
        </a:p>
      </xdr:txBody>
    </xdr:sp>
    <xdr:clientData/>
  </xdr:twoCellAnchor>
  <xdr:twoCellAnchor>
    <xdr:from>
      <xdr:col>10</xdr:col>
      <xdr:colOff>0</xdr:colOff>
      <xdr:row>26</xdr:row>
      <xdr:rowOff>9525</xdr:rowOff>
    </xdr:from>
    <xdr:to>
      <xdr:col>16</xdr:col>
      <xdr:colOff>714375</xdr:colOff>
      <xdr:row>27</xdr:row>
      <xdr:rowOff>47625</xdr:rowOff>
    </xdr:to>
    <xdr:sp>
      <xdr:nvSpPr>
        <xdr:cNvPr id="5" name="Text Box 34"/>
        <xdr:cNvSpPr txBox="1">
          <a:spLocks noChangeArrowheads="1"/>
        </xdr:cNvSpPr>
      </xdr:nvSpPr>
      <xdr:spPr>
        <a:xfrm>
          <a:off x="5800725" y="4781550"/>
          <a:ext cx="5553075" cy="200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Evaporative Coolers (Warranty period: 3 yrs), then discounted to 70% at 10 years &amp; 60% at 12 yrs)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95250</xdr:rowOff>
    </xdr:from>
    <xdr:to>
      <xdr:col>2</xdr:col>
      <xdr:colOff>771525</xdr:colOff>
      <xdr:row>39</xdr:row>
      <xdr:rowOff>19050</xdr:rowOff>
    </xdr:to>
    <xdr:sp>
      <xdr:nvSpPr>
        <xdr:cNvPr id="1" name="Text Box 2"/>
        <xdr:cNvSpPr txBox="1">
          <a:spLocks noChangeArrowheads="1"/>
        </xdr:cNvSpPr>
      </xdr:nvSpPr>
      <xdr:spPr>
        <a:xfrm>
          <a:off x="0" y="3676650"/>
          <a:ext cx="5715000" cy="409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Refrigeration technology consumed about 15% of all electricity consumed worldwide, Coulomb, D. 2005. A word from the director. Int. J. Refrig. 25: 973-976.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85</xdr:row>
      <xdr:rowOff>66675</xdr:rowOff>
    </xdr:from>
    <xdr:to>
      <xdr:col>9</xdr:col>
      <xdr:colOff>914400</xdr:colOff>
      <xdr:row>105</xdr:row>
      <xdr:rowOff>152400</xdr:rowOff>
    </xdr:to>
    <xdr:sp>
      <xdr:nvSpPr>
        <xdr:cNvPr id="1" name="Text Box 3"/>
        <xdr:cNvSpPr txBox="1">
          <a:spLocks noChangeArrowheads="1"/>
        </xdr:cNvSpPr>
      </xdr:nvSpPr>
      <xdr:spPr>
        <a:xfrm>
          <a:off x="9525" y="2533650"/>
          <a:ext cx="10229850" cy="3381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Energy Calculations &amp;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Calculation method used was as follows:
</a:t>
          </a:r>
          <a:r>
            <a:rPr lang="en-US" cap="none" sz="1000" b="0" i="0" u="none" baseline="0">
              <a:solidFill>
                <a:srgbClr val="000000"/>
              </a:solidFill>
              <a:latin typeface="Arial"/>
              <a:ea typeface="Arial"/>
              <a:cs typeface="Arial"/>
            </a:rPr>
            <a:t>Energy Consumed (Residential) = # Existing Stock in Region x Typical Run Hr in Region p.a. x Av. Capacity kWr/COP or EER 
</a:t>
          </a:r>
          <a:r>
            <a:rPr lang="en-US" cap="none" sz="1000" b="0" i="0" u="none" baseline="0">
              <a:solidFill>
                <a:srgbClr val="000000"/>
              </a:solidFill>
              <a:latin typeface="Arial"/>
              <a:ea typeface="Arial"/>
              <a:cs typeface="Arial"/>
            </a:rPr>
            <a:t>This calculation was undertaken for heating &amp; cooling, total energy consumed was the sum of the two.  Assumptions are noted in embedded comments &amp; tables below   
</a:t>
          </a:r>
          <a:r>
            <a:rPr lang="en-US" cap="none" sz="1000" b="0" i="0" u="none" baseline="0">
              <a:solidFill>
                <a:srgbClr val="000000"/>
              </a:solidFill>
              <a:latin typeface="Arial"/>
              <a:ea typeface="Arial"/>
              <a:cs typeface="Arial"/>
            </a:rPr>
            <a:t>A similar method was used for commercial, however rather than run hours per region, an effective operating time per day was estimated x 365 days.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References
</a:t>
          </a:r>
          <a:r>
            <a:rPr lang="en-US" cap="none" sz="1000" b="0" i="0" u="none" baseline="0">
              <a:solidFill>
                <a:srgbClr val="000000"/>
              </a:solidFill>
              <a:latin typeface="Arial"/>
              <a:ea typeface="Arial"/>
              <a:cs typeface="Arial"/>
            </a:rPr>
            <a:t>Energy Strategies, 2007, previous conservative estimates of Commercial Air Conditioning (based on top down approach) are 21.9 to 25.5 Mt CO2e pa. (approx. 62.8PJ = 17,452GWh/a to 73.2PJ = 20,321GWh/a).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MEPS AC, 2002 pp 10. According to recent studies, airconditioning is estimated to represent approximately (approx. 3.4PJ = 956 GWh/a) 1.2Mt CO2-e for the residential sector and (approx. 70PJ = 19,444 GWh/a) 24.4Mt CO2-e for the commercial sector in 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Status of AC in Australia, 2005 pp 26. Annual energy savings in 2018 are projected to be 782 GWh per year with emissions down by about 0.61 Mt CO2-e per year; for total savings of 7,970 GWh and 6.2 Mt CO2-e.  pp 32, estimate Energy consumption of Air Conditioners in 2004 to be 4.6 PJ (1278 GWh/a) in the residential sector, data did not take into account any MEPS reductions.  These two pieces of data from same report appear to contradict???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MEPS Close Control AC, 2004 pp4. It is estimated that approximately 3000 roof top packaged air conditioners are sold each year in Australia (over 18kWr), with the average size of 60 kWr (</a:t>
          </a:r>
          <a:r>
            <a:rPr lang="en-US" cap="none" sz="1000" b="0" i="1" u="none" baseline="0">
              <a:solidFill>
                <a:srgbClr val="000000"/>
              </a:solidFill>
              <a:latin typeface="Arial"/>
              <a:ea typeface="Arial"/>
              <a:cs typeface="Arial"/>
            </a:rPr>
            <a:t>PB closer to 45kW, same as precision</a:t>
          </a:r>
          <a:r>
            <a:rPr lang="en-US" cap="none" sz="1000" b="0" i="0" u="none" baseline="0">
              <a:solidFill>
                <a:srgbClr val="000000"/>
              </a:solidFill>
              <a:latin typeface="Arial"/>
              <a:ea typeface="Arial"/>
              <a:cs typeface="Arial"/>
            </a:rPr>
            <a:t>). Hence the market for close control air conditioners is approximately 15% of this total market (</a:t>
          </a:r>
          <a:r>
            <a:rPr lang="en-US" cap="none" sz="1000" b="0" i="1" u="none" baseline="0">
              <a:solidFill>
                <a:srgbClr val="000000"/>
              </a:solidFill>
              <a:latin typeface="Arial"/>
              <a:ea typeface="Arial"/>
              <a:cs typeface="Arial"/>
            </a:rPr>
            <a:t>PB closer to 20%</a:t>
          </a:r>
          <a:r>
            <a:rPr lang="en-US" cap="none" sz="1000" b="0" i="0" u="none" baseline="0">
              <a:solidFill>
                <a:srgbClr val="000000"/>
              </a:solidFill>
              <a:latin typeface="Arial"/>
              <a:ea typeface="Arial"/>
              <a:cs typeface="Arial"/>
            </a:rPr>
            <a:t>). This makes close control air conditioners relatively significant in terms of energy usage as the average utilization of close control air conditioners is typically 2 to 4 times (</a:t>
          </a:r>
          <a:r>
            <a:rPr lang="en-US" cap="none" sz="1000" b="0" i="1" u="none" baseline="0">
              <a:solidFill>
                <a:srgbClr val="000000"/>
              </a:solidFill>
              <a:latin typeface="Arial"/>
              <a:ea typeface="Arial"/>
              <a:cs typeface="Arial"/>
            </a:rPr>
            <a:t>PB our analysis used 2.4 times</a:t>
          </a:r>
          <a:r>
            <a:rPr lang="en-US" cap="none" sz="1000" b="0" i="0" u="none" baseline="0">
              <a:solidFill>
                <a:srgbClr val="000000"/>
              </a:solidFill>
              <a:latin typeface="Arial"/>
              <a:ea typeface="Arial"/>
              <a:cs typeface="Arial"/>
            </a:rPr>
            <a:t>) more than comfort air conditioners. Hence, energy consumption from close control air conditioners could be 10 to 20 % (</a:t>
          </a:r>
          <a:r>
            <a:rPr lang="en-US" cap="none" sz="1000" b="0" i="1" u="none" baseline="0">
              <a:solidFill>
                <a:srgbClr val="000000"/>
              </a:solidFill>
              <a:latin typeface="Arial"/>
              <a:ea typeface="Arial"/>
              <a:cs typeface="Arial"/>
            </a:rPr>
            <a:t>PB 20% x 2.4 = 48%, close control is more significant</a:t>
          </a:r>
          <a:r>
            <a:rPr lang="en-US" cap="none" sz="1000" b="0" i="0" u="none" baseline="0">
              <a:solidFill>
                <a:srgbClr val="000000"/>
              </a:solidFill>
              <a:latin typeface="Arial"/>
              <a:ea typeface="Arial"/>
              <a:cs typeface="Arial"/>
            </a:rPr>
            <a:t>) of the energy usage attributed to package air conditioners.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MEPS Heatpumps - 2004, pp 2
</a:t>
          </a:r>
          <a:r>
            <a:rPr lang="en-US" cap="none" sz="1000" b="0" i="0" u="none" baseline="0">
              <a:solidFill>
                <a:srgbClr val="000000"/>
              </a:solidFill>
              <a:latin typeface="Arial"/>
              <a:ea typeface="Arial"/>
              <a:cs typeface="Arial"/>
            </a:rPr>
            <a:t>Energy consumption from heat pumps in 2002 is estimated to be over 600 GWh/a and forecast to grow to 1,100 GWh in 2010. Heat pumps are typically replacing electric resistive heating and solid fuel heaters as the main heating source.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0</xdr:rowOff>
    </xdr:from>
    <xdr:to>
      <xdr:col>14</xdr:col>
      <xdr:colOff>857250</xdr:colOff>
      <xdr:row>30</xdr:row>
      <xdr:rowOff>104775</xdr:rowOff>
    </xdr:to>
    <xdr:sp>
      <xdr:nvSpPr>
        <xdr:cNvPr id="1" name="Text Box 46"/>
        <xdr:cNvSpPr txBox="1">
          <a:spLocks noChangeArrowheads="1"/>
        </xdr:cNvSpPr>
      </xdr:nvSpPr>
      <xdr:spPr>
        <a:xfrm>
          <a:off x="9525" y="3600450"/>
          <a:ext cx="11906250" cy="2209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data was collected via extensive interviews with industry sources and used in conjunction with import data from DEWR, import statistics from ABS and some earlier estimates of installed devices from a variety of studies.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is still a degree of conflict between import data and sales in some classes of equipment which is likely to be as a result of the drawdown of inventories. It is widely reported for instance that towards the end of 2006 suppliers had close to exhausted all stocks in inventory.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Numbers in blue are still under investigation or further data is coming that may change the value presently recorded.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industry gain accurate information as follows:
</a:t>
          </a:r>
          <a:r>
            <a:rPr lang="en-US" cap="none" sz="1000" b="0" i="0" u="none" baseline="0">
              <a:solidFill>
                <a:srgbClr val="000000"/>
              </a:solidFill>
              <a:latin typeface="Arial"/>
              <a:ea typeface="Arial"/>
              <a:cs typeface="Arial"/>
            </a:rPr>
            <a:t>- Market leaders with a significant share &amp; years of experience have a good understanding of market sizes/details by product category
</a:t>
          </a:r>
          <a:r>
            <a:rPr lang="en-US" cap="none" sz="1000" b="0" i="0" u="none" baseline="0">
              <a:solidFill>
                <a:srgbClr val="000000"/>
              </a:solidFill>
              <a:latin typeface="Arial"/>
              <a:ea typeface="Arial"/>
              <a:cs typeface="Arial"/>
            </a:rPr>
            <a:t>- Unit volumes &amp; typical sizes are estimated at industry gatherings such as MEPS committees
</a:t>
          </a:r>
          <a:r>
            <a:rPr lang="en-US" cap="none" sz="1000" b="0" i="0" u="none" baseline="0">
              <a:solidFill>
                <a:srgbClr val="000000"/>
              </a:solidFill>
              <a:latin typeface="Arial"/>
              <a:ea typeface="Arial"/>
              <a:cs typeface="Arial"/>
            </a:rPr>
            <a:t>- Several product categories are recorded by Informark, this information is only available to members that subscribe, 
</a:t>
          </a:r>
          <a:r>
            <a:rPr lang="en-US" cap="none" sz="1000" b="0" i="0" u="none" baseline="0">
              <a:solidFill>
                <a:srgbClr val="000000"/>
              </a:solidFill>
              <a:latin typeface="Arial"/>
              <a:ea typeface="Arial"/>
              <a:cs typeface="Arial"/>
            </a:rPr>
            <a:t>  participants can estimate total market data by estimating participation rate.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76200</xdr:rowOff>
    </xdr:from>
    <xdr:to>
      <xdr:col>11</xdr:col>
      <xdr:colOff>314325</xdr:colOff>
      <xdr:row>57</xdr:row>
      <xdr:rowOff>9525</xdr:rowOff>
    </xdr:to>
    <xdr:sp>
      <xdr:nvSpPr>
        <xdr:cNvPr id="1" name="Text Box 4"/>
        <xdr:cNvSpPr txBox="1">
          <a:spLocks noChangeArrowheads="1"/>
        </xdr:cNvSpPr>
      </xdr:nvSpPr>
      <xdr:spPr>
        <a:xfrm>
          <a:off x="19050" y="2057400"/>
          <a:ext cx="8972550" cy="6896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There are several factors that effect the Ownership Ratio Calculation: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Existing Stock Calculations &amp; assumptions
</a:t>
          </a:r>
          <a:r>
            <a:rPr lang="en-US" cap="none" sz="1000" b="0" i="0" u="none" baseline="0">
              <a:solidFill>
                <a:srgbClr val="000000"/>
              </a:solidFill>
              <a:latin typeface="Arial"/>
              <a:ea typeface="Arial"/>
              <a:cs typeface="Arial"/>
            </a:rPr>
            <a:t>- Proportion of WHS Systems, Split Systems &amp; Window Wall units assigned to Residential &amp; Commercial (see sensitivity analysis below)
</a:t>
          </a:r>
          <a:r>
            <a:rPr lang="en-US" cap="none" sz="1000" b="0" i="0" u="none" baseline="0">
              <a:solidFill>
                <a:srgbClr val="000000"/>
              </a:solidFill>
              <a:latin typeface="Arial"/>
              <a:ea typeface="Arial"/>
              <a:cs typeface="Arial"/>
            </a:rPr>
            <a:t>- Weakness in the Evaporative Cooler data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Existing Stock Calculations &amp; assumptions: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Assumed 100% of systems imported or manufactured were in service for the nominal warranty period (for domestic applications) then discounted the % in service to a typical life span.  Existing Stock is calculated on AC Calculation WSheet, summary of assumptions used for calculations was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Split Systems (Warranty period: majors = 5 yrs/minors = 3 yrs, used 4 yrs), then discounted to 70% at 10 years &amp; 60% at 12 years)
</a:t>
          </a:r>
          <a:r>
            <a:rPr lang="en-US" cap="none" sz="1000" b="0" i="0" u="none" baseline="0">
              <a:solidFill>
                <a:srgbClr val="000000"/>
              </a:solidFill>
              <a:latin typeface="Arial"/>
              <a:ea typeface="Arial"/>
              <a:cs typeface="Arial"/>
            </a:rPr>
            <a:t>WHS Systems (Warranty period: majors = 5 yrs/minors = 3 yrs, used 4 yrs), then discounted to 60% at 10 years
</a:t>
          </a:r>
          <a:r>
            <a:rPr lang="en-US" cap="none" sz="1000" b="0" i="0" u="none" baseline="0">
              <a:solidFill>
                <a:srgbClr val="000000"/>
              </a:solidFill>
              <a:latin typeface="Arial"/>
              <a:ea typeface="Arial"/>
              <a:cs typeface="Arial"/>
            </a:rPr>
            <a:t>Window/Wall (Warranty period: 3 yrs), then discounted to 65% at 10 years &amp; 55% at 12 years)
</a:t>
          </a:r>
          <a:r>
            <a:rPr lang="en-US" cap="none" sz="1000" b="0" i="0" u="none" baseline="0">
              <a:solidFill>
                <a:srgbClr val="000000"/>
              </a:solidFill>
              <a:latin typeface="Arial"/>
              <a:ea typeface="Arial"/>
              <a:cs typeface="Arial"/>
            </a:rPr>
            <a:t>Evaporative Coolers (Warranty period: 3 yrs), then discounted to 70% at 10 years &amp; 60% at 12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Existing Stock can be subjective as units can still be installed, however not operated or only used occasionally (a good example of this is a wall unit replaced by a WHS System, wall units are rarely replaced in a domestic application as it involves re-plastering &amp; filling the external hole at a cost of $500 to $1,000).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is limited research in this area, however one reference is as follows:  
</a:t>
          </a:r>
          <a:r>
            <a:rPr lang="en-US" cap="none" sz="1000" b="0" i="0" u="none" baseline="0">
              <a:solidFill>
                <a:srgbClr val="000000"/>
              </a:solidFill>
              <a:latin typeface="Arial"/>
              <a:ea typeface="Arial"/>
              <a:cs typeface="Arial"/>
            </a:rPr>
            <a:t>Status of AC in Australia, EES, 2005 pp12 Studies undertaken by Test Research in 1995 indicate the av. age of AC's to be 8 years, with the av, retirement age of 12 to 18 years (depending on installation, type), which was broadly consistent with BIS Shrapnel Data collected in 2004.  Until a more comprehensive study is undertaken intuition from industry Product Managers &amp; Service Managers is the best guide.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Proportion of WHS Systems, Split Systems &amp; Window Wall units assigned to Residential &amp; Commercial
</a:t>
          </a:r>
          <a:r>
            <a:rPr lang="en-US" cap="none" sz="1000" b="0" i="0" u="none" baseline="0">
              <a:solidFill>
                <a:srgbClr val="000000"/>
              </a:solidFill>
              <a:latin typeface="Arial"/>
              <a:ea typeface="Arial"/>
              <a:cs typeface="Arial"/>
            </a:rPr>
            <a:t>Highly recommend a survey of major suppliers (incl. Daikin, Fujitsu, Mitsubishi, Carrier, etc.) to obtain a better understanding of the % of Commercial AC to domestic applications.  The major players will have an indication of this split as they offer different warranties &amp; have different departments for residential &amp; commercial.  
</a:t>
          </a:r>
          <a:r>
            <a:rPr lang="en-US" cap="none" sz="1000" b="0" i="0" u="none" baseline="0">
              <a:solidFill>
                <a:srgbClr val="000000"/>
              </a:solidFill>
              <a:latin typeface="Arial"/>
              <a:ea typeface="Arial"/>
              <a:cs typeface="Arial"/>
            </a:rPr>
            <a:t>The estimated ratios were as as follows:
</a:t>
          </a:r>
          <a:r>
            <a:rPr lang="en-US" cap="none" sz="1000" b="0" i="0" u="none" baseline="0">
              <a:solidFill>
                <a:srgbClr val="000000"/>
              </a:solidFill>
              <a:latin typeface="Arial"/>
              <a:ea typeface="Arial"/>
              <a:cs typeface="Arial"/>
            </a:rPr>
            <a:t>WHS Systems = 25%, Window/Wall Units = 20% &amp; Split Systems = 50% Commercial alters the "macro data".
</a:t>
          </a:r>
          <a:r>
            <a:rPr lang="en-US" cap="none" sz="1000" b="0" i="0" u="none" baseline="0">
              <a:solidFill>
                <a:srgbClr val="0000FF"/>
              </a:solidFill>
              <a:latin typeface="Arial"/>
              <a:ea typeface="Arial"/>
              <a:cs typeface="Arial"/>
            </a:rPr>
            <a:t>Av. Devices per Household of 0.70, Total Energy Consumed for Commercial = 17,654 GWh/a &amp; Residential = 5,248 GWh/a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Amending the ratios to WHS Systems = 20%, Window/Wall Units = 15% &amp; Split Systems = 40% Commercial
</a:t>
          </a:r>
          <a:r>
            <a:rPr lang="en-US" cap="none" sz="1000" b="0" i="0" u="none" baseline="0">
              <a:solidFill>
                <a:srgbClr val="0000FF"/>
              </a:solidFill>
              <a:latin typeface="Arial"/>
              <a:ea typeface="Arial"/>
              <a:cs typeface="Arial"/>
            </a:rPr>
            <a:t>Av. Devices per Household of 0.75, Total Energy Consumed for Commercial = 15,878 GWh/a &amp; Residential = 5,755 GWh/a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Amending the ratios to WHS Systems = 30%, Window/Wall Units = 25% &amp; Split Systems = 50% Commercial alters the "macro data".
</a:t>
          </a:r>
          <a:r>
            <a:rPr lang="en-US" cap="none" sz="1000" b="0" i="0" u="none" baseline="0">
              <a:solidFill>
                <a:srgbClr val="0000FF"/>
              </a:solidFill>
              <a:latin typeface="Arial"/>
              <a:ea typeface="Arial"/>
              <a:cs typeface="Arial"/>
            </a:rPr>
            <a:t>Av. Devices per Household of 0.66, Total Energy Consumed for Commercial = 18,414 GWh/a &amp; Residential = 4,989 GWh/a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Weakness in the Evaporative Cooler data
</a:t>
          </a:r>
          <a:r>
            <a:rPr lang="en-US" cap="none" sz="1000" b="0" i="0" u="none" baseline="0">
              <a:solidFill>
                <a:srgbClr val="000000"/>
              </a:solidFill>
              <a:latin typeface="Arial"/>
              <a:ea typeface="Arial"/>
              <a:cs typeface="Arial"/>
            </a:rPr>
            <a:t>Have applied 15% of all AC types to estimate Evap Coolers (excl. portable).  This estimate is a significant weakness in this analysis.  Further data is required to qualify Existing Stock &amp; correct distribution by state.  Evap. Coolers are popular in WA, SA &amp; rural NSW/Qld/Vic where humidity is low.  Distribution by state is very different to other AC types.  The ownership ratio would increase if we were to include portable evaporative coolers in the analysis (have excluded them in this analysis as they are inexpensive, consume very little power &amp; in some cases provide marginally better cooling than a pedestal fan).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7</xdr:col>
      <xdr:colOff>590550</xdr:colOff>
      <xdr:row>31</xdr:row>
      <xdr:rowOff>66675</xdr:rowOff>
    </xdr:to>
    <xdr:sp>
      <xdr:nvSpPr>
        <xdr:cNvPr id="1" name="Text Box 3"/>
        <xdr:cNvSpPr txBox="1">
          <a:spLocks noChangeArrowheads="1"/>
        </xdr:cNvSpPr>
      </xdr:nvSpPr>
      <xdr:spPr>
        <a:xfrm>
          <a:off x="3000375" y="0"/>
          <a:ext cx="5943600" cy="3048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Chiller Analysis &amp; Assumptions: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process was undertaken in conjunction with discussions with industry (Manufacturers &amp; Contractors): 
</a:t>
          </a:r>
          <a:r>
            <a:rPr lang="en-US" cap="none" sz="1000" b="0" i="0" u="none" baseline="0">
              <a:solidFill>
                <a:srgbClr val="000000"/>
              </a:solidFill>
              <a:latin typeface="Arial"/>
              <a:ea typeface="Arial"/>
              <a:cs typeface="Arial"/>
            </a:rPr>
            <a:t>1. Chillers were broken into 3 categories by capacity (Small &lt;110kW; Medium between 110 &amp; 528kW; Large &gt;528kW) 
</a:t>
          </a:r>
          <a:r>
            <a:rPr lang="en-US" cap="none" sz="1000" b="0" i="0" u="none" baseline="0">
              <a:solidFill>
                <a:srgbClr val="000000"/>
              </a:solidFill>
              <a:latin typeface="Arial"/>
              <a:ea typeface="Arial"/>
              <a:cs typeface="Arial"/>
            </a:rPr>
            <a:t>2. Chillers were placed into 3 Market sectors (Commercial AC; Process Chilling in Food Chain; Industrial &amp; Other applications)
</a:t>
          </a:r>
          <a:r>
            <a:rPr lang="en-US" cap="none" sz="1000" b="0" i="0" u="none" baseline="0">
              <a:solidFill>
                <a:srgbClr val="000000"/>
              </a:solidFill>
              <a:latin typeface="Arial"/>
              <a:ea typeface="Arial"/>
              <a:cs typeface="Arial"/>
            </a:rPr>
            <a:t>3.Chiller Applications were classified as large, medium &amp; small &amp; an estimate made of Market segment share in each size (eg Large consisted of 85% Commercial AC &amp; balance shared) or (eg Small consisted of 50% Process Chilling in Food Chain &amp; 50% Industrial/Other) 
</a:t>
          </a:r>
          <a:r>
            <a:rPr lang="en-US" cap="none" sz="1000" b="0" i="0" u="none" baseline="0">
              <a:solidFill>
                <a:srgbClr val="000000"/>
              </a:solidFill>
              <a:latin typeface="Arial"/>
              <a:ea typeface="Arial"/>
              <a:cs typeface="Arial"/>
            </a:rPr>
            <a:t>4. Annual volumes, weighted averages, average sizes, estimated existing base &amp; energy consumptions are calculated below.  An assumption table is provided below listing COPs, existing stock &amp; effective run time (which is subjective &amp; requires further investigation).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Estimated Energy Consumed by Chillers:
</a:t>
          </a:r>
          <a:r>
            <a:rPr lang="en-US" cap="none" sz="1000" b="0" i="0" u="none" baseline="0">
              <a:solidFill>
                <a:srgbClr val="000000"/>
              </a:solidFill>
              <a:latin typeface="Arial"/>
              <a:ea typeface="Arial"/>
              <a:cs typeface="Arial"/>
            </a:rPr>
            <a:t>Commercial Air Conditioning = 4,857 GWh/a
</a:t>
          </a:r>
          <a:r>
            <a:rPr lang="en-US" cap="none" sz="1000" b="0" i="0" u="none" baseline="0">
              <a:solidFill>
                <a:srgbClr val="000000"/>
              </a:solidFill>
              <a:latin typeface="Arial"/>
              <a:ea typeface="Arial"/>
              <a:cs typeface="Arial"/>
            </a:rPr>
            <a:t>Process Chilling (Food Chain) = 564 GWh/a
</a:t>
          </a:r>
          <a:r>
            <a:rPr lang="en-US" cap="none" sz="1000" b="0" i="0" u="none" baseline="0">
              <a:solidFill>
                <a:srgbClr val="000000"/>
              </a:solidFill>
              <a:latin typeface="Arial"/>
              <a:ea typeface="Arial"/>
              <a:cs typeface="Arial"/>
            </a:rPr>
            <a:t>Industrial Applications &amp; Other = 705 GWh/a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useful references 
</a:t>
          </a:r>
          <a:r>
            <a:rPr lang="en-US" cap="none" sz="1000" b="0" i="0" u="none" baseline="0">
              <a:solidFill>
                <a:srgbClr val="000000"/>
              </a:solidFill>
              <a:latin typeface="Arial"/>
              <a:ea typeface="Arial"/>
              <a:cs typeface="Arial"/>
            </a:rPr>
            <a:t>MEPS - Commercial Building Air Conditioning Chillers (Vapour Compression), 2004.
</a:t>
          </a:r>
          <a:r>
            <a:rPr lang="en-US" cap="none" sz="1000" b="0" i="0" u="none" baseline="0">
              <a:solidFill>
                <a:srgbClr val="000000"/>
              </a:solidFill>
              <a:latin typeface="Arial"/>
              <a:ea typeface="Arial"/>
              <a:cs typeface="Arial"/>
            </a:rPr>
            <a:t>pp 5 Estimated that there are some 6,000 to 7,000 chillers of varying technology
</a:t>
          </a:r>
          <a:r>
            <a:rPr lang="en-US" cap="none" sz="1000" b="0" i="0" u="none" baseline="0">
              <a:solidFill>
                <a:srgbClr val="000000"/>
              </a:solidFill>
              <a:latin typeface="Arial"/>
              <a:ea typeface="Arial"/>
              <a:cs typeface="Arial"/>
            </a:rPr>
            <a:t>types, efficiencies and refrigerants currently installed in Australian commercial buildings,
</a:t>
          </a:r>
          <a:r>
            <a:rPr lang="en-US" cap="none" sz="1000" b="0" i="0" u="none" baseline="0">
              <a:solidFill>
                <a:srgbClr val="000000"/>
              </a:solidFill>
              <a:latin typeface="Arial"/>
              <a:ea typeface="Arial"/>
              <a:cs typeface="Arial"/>
            </a:rPr>
            <a:t>entertainment complexes and retails facilities.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pp 6 Figure 1 shows the range of sales by type of chiller. Applications with cooling requirements below 250 kW are mainly dominated by scroll compressors, with other applications up to 1,000 kW using a mixture of helical rotary (screw) and reciprocating compressors. Cooling capacity requirements above 1,000 kW is usually managed by the use of screw and centrifugal compressors.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3</xdr:col>
      <xdr:colOff>419100</xdr:colOff>
      <xdr:row>5</xdr:row>
      <xdr:rowOff>0</xdr:rowOff>
    </xdr:to>
    <xdr:sp>
      <xdr:nvSpPr>
        <xdr:cNvPr id="1" name="AutoShape 1"/>
        <xdr:cNvSpPr>
          <a:spLocks/>
        </xdr:cNvSpPr>
      </xdr:nvSpPr>
      <xdr:spPr>
        <a:xfrm>
          <a:off x="9525" y="200025"/>
          <a:ext cx="2238375" cy="647700"/>
        </a:xfrm>
        <a:prstGeom prst="chevron">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Primary Producers   
</a:t>
          </a:r>
          <a:r>
            <a:rPr lang="en-US" cap="none" sz="800" b="0" i="0" u="none" baseline="0">
              <a:solidFill>
                <a:srgbClr val="000000"/>
              </a:solidFill>
              <a:latin typeface="Arial"/>
              <a:ea typeface="Arial"/>
              <a:cs typeface="Arial"/>
            </a:rPr>
            <a:t>(Initial Cooling 
</a:t>
          </a:r>
          <a:r>
            <a:rPr lang="en-US" cap="none" sz="800" b="0" i="0" u="none" baseline="0">
              <a:solidFill>
                <a:srgbClr val="000000"/>
              </a:solidFill>
              <a:latin typeface="Arial"/>
              <a:ea typeface="Arial"/>
              <a:cs typeface="Arial"/>
            </a:rPr>
            <a:t>Fresh Produce)</a:t>
          </a:r>
        </a:p>
      </xdr:txBody>
    </xdr:sp>
    <xdr:clientData/>
  </xdr:twoCellAnchor>
  <xdr:twoCellAnchor>
    <xdr:from>
      <xdr:col>7</xdr:col>
      <xdr:colOff>600075</xdr:colOff>
      <xdr:row>1</xdr:row>
      <xdr:rowOff>0</xdr:rowOff>
    </xdr:from>
    <xdr:to>
      <xdr:col>10</xdr:col>
      <xdr:colOff>381000</xdr:colOff>
      <xdr:row>5</xdr:row>
      <xdr:rowOff>0</xdr:rowOff>
    </xdr:to>
    <xdr:sp>
      <xdr:nvSpPr>
        <xdr:cNvPr id="2" name="AutoShape 7"/>
        <xdr:cNvSpPr>
          <a:spLocks/>
        </xdr:cNvSpPr>
      </xdr:nvSpPr>
      <xdr:spPr>
        <a:xfrm>
          <a:off x="4867275" y="200025"/>
          <a:ext cx="1609725" cy="647700"/>
        </a:xfrm>
        <a:prstGeom prst="chevron">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Refrig. 
</a:t>
          </a:r>
          <a:r>
            <a:rPr lang="en-US" cap="none" sz="800" b="0" i="0" u="none" baseline="0">
              <a:solidFill>
                <a:srgbClr val="000000"/>
              </a:solidFill>
              <a:latin typeface="Arial"/>
              <a:ea typeface="Arial"/>
              <a:cs typeface="Arial"/>
            </a:rPr>
            <a:t>                 Trans</a:t>
          </a:r>
        </a:p>
      </xdr:txBody>
    </xdr:sp>
    <xdr:clientData/>
  </xdr:twoCellAnchor>
  <xdr:twoCellAnchor>
    <xdr:from>
      <xdr:col>9</xdr:col>
      <xdr:colOff>9525</xdr:colOff>
      <xdr:row>1</xdr:row>
      <xdr:rowOff>0</xdr:rowOff>
    </xdr:from>
    <xdr:to>
      <xdr:col>11</xdr:col>
      <xdr:colOff>409575</xdr:colOff>
      <xdr:row>5</xdr:row>
      <xdr:rowOff>0</xdr:rowOff>
    </xdr:to>
    <xdr:sp>
      <xdr:nvSpPr>
        <xdr:cNvPr id="3" name="AutoShape 8"/>
        <xdr:cNvSpPr>
          <a:spLocks/>
        </xdr:cNvSpPr>
      </xdr:nvSpPr>
      <xdr:spPr>
        <a:xfrm>
          <a:off x="5495925" y="200025"/>
          <a:ext cx="1619250" cy="647700"/>
        </a:xfrm>
        <a:prstGeom prst="chevron">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Retail Display &amp; 
</a:t>
          </a:r>
          <a:r>
            <a:rPr lang="en-US" cap="none" sz="800" b="0" i="0" u="none" baseline="0">
              <a:solidFill>
                <a:srgbClr val="000000"/>
              </a:solidFill>
              <a:latin typeface="Arial"/>
              <a:ea typeface="Arial"/>
              <a:cs typeface="Arial"/>
            </a:rPr>
            <a:t> Cold Room Storage</a:t>
          </a:r>
        </a:p>
      </xdr:txBody>
    </xdr:sp>
    <xdr:clientData/>
  </xdr:twoCellAnchor>
  <xdr:twoCellAnchor>
    <xdr:from>
      <xdr:col>11</xdr:col>
      <xdr:colOff>0</xdr:colOff>
      <xdr:row>1</xdr:row>
      <xdr:rowOff>0</xdr:rowOff>
    </xdr:from>
    <xdr:to>
      <xdr:col>13</xdr:col>
      <xdr:colOff>400050</xdr:colOff>
      <xdr:row>5</xdr:row>
      <xdr:rowOff>0</xdr:rowOff>
    </xdr:to>
    <xdr:sp>
      <xdr:nvSpPr>
        <xdr:cNvPr id="4" name="AutoShape 9"/>
        <xdr:cNvSpPr>
          <a:spLocks/>
        </xdr:cNvSpPr>
      </xdr:nvSpPr>
      <xdr:spPr>
        <a:xfrm>
          <a:off x="6705600" y="200025"/>
          <a:ext cx="1666875" cy="647700"/>
        </a:xfrm>
        <a:prstGeom prst="chevron">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End User
</a:t>
          </a:r>
        </a:p>
      </xdr:txBody>
    </xdr:sp>
    <xdr:clientData/>
  </xdr:twoCellAnchor>
  <xdr:twoCellAnchor>
    <xdr:from>
      <xdr:col>2</xdr:col>
      <xdr:colOff>0</xdr:colOff>
      <xdr:row>1</xdr:row>
      <xdr:rowOff>0</xdr:rowOff>
    </xdr:from>
    <xdr:to>
      <xdr:col>4</xdr:col>
      <xdr:colOff>390525</xdr:colOff>
      <xdr:row>5</xdr:row>
      <xdr:rowOff>0</xdr:rowOff>
    </xdr:to>
    <xdr:sp>
      <xdr:nvSpPr>
        <xdr:cNvPr id="5" name="AutoShape 12"/>
        <xdr:cNvSpPr>
          <a:spLocks/>
        </xdr:cNvSpPr>
      </xdr:nvSpPr>
      <xdr:spPr>
        <a:xfrm>
          <a:off x="1219200" y="200025"/>
          <a:ext cx="1609725" cy="647700"/>
        </a:xfrm>
        <a:prstGeom prst="chevron">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Refrig. 
</a:t>
          </a:r>
          <a:r>
            <a:rPr lang="en-US" cap="none" sz="800" b="0" i="0" u="none" baseline="0">
              <a:solidFill>
                <a:srgbClr val="000000"/>
              </a:solidFill>
              <a:latin typeface="Arial"/>
              <a:ea typeface="Arial"/>
              <a:cs typeface="Arial"/>
            </a:rPr>
            <a:t>                 Trans</a:t>
          </a:r>
        </a:p>
      </xdr:txBody>
    </xdr:sp>
    <xdr:clientData/>
  </xdr:twoCellAnchor>
  <xdr:twoCellAnchor>
    <xdr:from>
      <xdr:col>3</xdr:col>
      <xdr:colOff>0</xdr:colOff>
      <xdr:row>1</xdr:row>
      <xdr:rowOff>0</xdr:rowOff>
    </xdr:from>
    <xdr:to>
      <xdr:col>6</xdr:col>
      <xdr:colOff>438150</xdr:colOff>
      <xdr:row>5</xdr:row>
      <xdr:rowOff>0</xdr:rowOff>
    </xdr:to>
    <xdr:sp>
      <xdr:nvSpPr>
        <xdr:cNvPr id="6" name="AutoShape 3"/>
        <xdr:cNvSpPr>
          <a:spLocks/>
        </xdr:cNvSpPr>
      </xdr:nvSpPr>
      <xdr:spPr>
        <a:xfrm>
          <a:off x="1828800" y="200025"/>
          <a:ext cx="2266950" cy="647700"/>
        </a:xfrm>
        <a:prstGeom prst="chevron">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Food Processors/Mfrs
</a:t>
          </a:r>
          <a:r>
            <a:rPr lang="en-US" cap="none" sz="800" b="0" i="0" u="none" baseline="0">
              <a:solidFill>
                <a:srgbClr val="000000"/>
              </a:solidFill>
              <a:latin typeface="Arial"/>
              <a:ea typeface="Arial"/>
              <a:cs typeface="Arial"/>
            </a:rPr>
            <a:t>   (Secondary Chilling 
</a:t>
          </a:r>
          <a:r>
            <a:rPr lang="en-US" cap="none" sz="800" b="0" i="0" u="none" baseline="0">
              <a:solidFill>
                <a:srgbClr val="000000"/>
              </a:solidFill>
              <a:latin typeface="Arial"/>
              <a:ea typeface="Arial"/>
              <a:cs typeface="Arial"/>
            </a:rPr>
            <a:t>&amp; Freezing)</a:t>
          </a:r>
        </a:p>
      </xdr:txBody>
    </xdr:sp>
    <xdr:clientData/>
  </xdr:twoCellAnchor>
  <xdr:twoCellAnchor>
    <xdr:from>
      <xdr:col>5</xdr:col>
      <xdr:colOff>9525</xdr:colOff>
      <xdr:row>1</xdr:row>
      <xdr:rowOff>0</xdr:rowOff>
    </xdr:from>
    <xdr:to>
      <xdr:col>7</xdr:col>
      <xdr:colOff>400050</xdr:colOff>
      <xdr:row>5</xdr:row>
      <xdr:rowOff>0</xdr:rowOff>
    </xdr:to>
    <xdr:sp>
      <xdr:nvSpPr>
        <xdr:cNvPr id="7" name="AutoShape 5"/>
        <xdr:cNvSpPr>
          <a:spLocks/>
        </xdr:cNvSpPr>
      </xdr:nvSpPr>
      <xdr:spPr>
        <a:xfrm>
          <a:off x="3057525" y="200025"/>
          <a:ext cx="1609725" cy="647700"/>
        </a:xfrm>
        <a:prstGeom prst="chevron">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Refrig. 
</a:t>
          </a:r>
          <a:r>
            <a:rPr lang="en-US" cap="none" sz="800" b="0" i="0" u="none" baseline="0">
              <a:solidFill>
                <a:srgbClr val="000000"/>
              </a:solidFill>
              <a:latin typeface="Arial"/>
              <a:ea typeface="Arial"/>
              <a:cs typeface="Arial"/>
            </a:rPr>
            <a:t>                 Trans</a:t>
          </a:r>
        </a:p>
      </xdr:txBody>
    </xdr:sp>
    <xdr:clientData/>
  </xdr:twoCellAnchor>
  <xdr:twoCellAnchor>
    <xdr:from>
      <xdr:col>6</xdr:col>
      <xdr:colOff>9525</xdr:colOff>
      <xdr:row>1</xdr:row>
      <xdr:rowOff>0</xdr:rowOff>
    </xdr:from>
    <xdr:to>
      <xdr:col>8</xdr:col>
      <xdr:colOff>400050</xdr:colOff>
      <xdr:row>5</xdr:row>
      <xdr:rowOff>0</xdr:rowOff>
    </xdr:to>
    <xdr:sp>
      <xdr:nvSpPr>
        <xdr:cNvPr id="8" name="AutoShape 6"/>
        <xdr:cNvSpPr>
          <a:spLocks/>
        </xdr:cNvSpPr>
      </xdr:nvSpPr>
      <xdr:spPr>
        <a:xfrm>
          <a:off x="3667125" y="200025"/>
          <a:ext cx="1609725" cy="647700"/>
        </a:xfrm>
        <a:prstGeom prst="chevron">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Cold Storage 
</a:t>
          </a:r>
          <a:r>
            <a:rPr lang="en-US" cap="none" sz="800" b="0" i="0" u="none" baseline="0">
              <a:solidFill>
                <a:srgbClr val="000000"/>
              </a:solidFill>
              <a:latin typeface="Arial"/>
              <a:ea typeface="Arial"/>
              <a:cs typeface="Arial"/>
            </a:rPr>
            <a:t>           Logistics &amp; Distribution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57150</xdr:rowOff>
    </xdr:from>
    <xdr:to>
      <xdr:col>13</xdr:col>
      <xdr:colOff>495300</xdr:colOff>
      <xdr:row>34</xdr:row>
      <xdr:rowOff>219075</xdr:rowOff>
    </xdr:to>
    <xdr:sp>
      <xdr:nvSpPr>
        <xdr:cNvPr id="1" name="Text Box 3"/>
        <xdr:cNvSpPr txBox="1">
          <a:spLocks noChangeArrowheads="1"/>
        </xdr:cNvSpPr>
      </xdr:nvSpPr>
      <xdr:spPr>
        <a:xfrm>
          <a:off x="9020175" y="3048000"/>
          <a:ext cx="3914775" cy="3076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Case Study
</a:t>
          </a:r>
          <a:r>
            <a:rPr lang="en-US" cap="none" sz="1000" b="0" i="0" u="none" baseline="0">
              <a:solidFill>
                <a:srgbClr val="000000"/>
              </a:solidFill>
              <a:latin typeface="Arial"/>
              <a:ea typeface="Arial"/>
              <a:cs typeface="Arial"/>
            </a:rPr>
            <a:t>Swire's Lyndhurst, Victoria
</a:t>
          </a:r>
          <a:r>
            <a:rPr lang="en-US" cap="none" sz="1000" b="0" i="0" u="none" baseline="0">
              <a:solidFill>
                <a:srgbClr val="000000"/>
              </a:solidFill>
              <a:latin typeface="Arial"/>
              <a:ea typeface="Arial"/>
              <a:cs typeface="Arial"/>
            </a:rPr>
            <a:t>Refrigerated Storage = 160,449m3
</a:t>
          </a:r>
          <a:r>
            <a:rPr lang="en-US" cap="none" sz="1000" b="0" i="0" u="none" baseline="0">
              <a:solidFill>
                <a:srgbClr val="000000"/>
              </a:solidFill>
              <a:latin typeface="Arial"/>
              <a:ea typeface="Arial"/>
              <a:cs typeface="Arial"/>
            </a:rPr>
            <a:t>Floor area = 18,890m2 (Av. height = 8.5m)
</a:t>
          </a:r>
          <a:r>
            <a:rPr lang="en-US" cap="none" sz="1000" b="0" i="0" u="none" baseline="0">
              <a:solidFill>
                <a:srgbClr val="000000"/>
              </a:solidFill>
              <a:latin typeface="Arial"/>
              <a:ea typeface="Arial"/>
              <a:cs typeface="Arial"/>
            </a:rPr>
            <a:t>Pallets = 16,000, conventional storage (manual)
</a:t>
          </a:r>
          <a:r>
            <a:rPr lang="en-US" cap="none" sz="1000" b="0" i="0" u="none" baseline="0">
              <a:solidFill>
                <a:srgbClr val="000000"/>
              </a:solidFill>
              <a:latin typeface="Arial"/>
              <a:ea typeface="Arial"/>
              <a:cs typeface="Arial"/>
            </a:rPr>
            <a:t>No direct employees on site = 240 over 3 shifts
</a:t>
          </a:r>
          <a:r>
            <a:rPr lang="en-US" cap="none" sz="1000" b="0" i="0" u="none" baseline="0">
              <a:solidFill>
                <a:srgbClr val="000000"/>
              </a:solidFill>
              <a:latin typeface="Arial"/>
              <a:ea typeface="Arial"/>
              <a:cs typeface="Arial"/>
            </a:rPr>
            <a:t>Age = 6 years
</a:t>
          </a:r>
          <a:r>
            <a:rPr lang="en-US" cap="none" sz="1000" b="0" i="0" u="none" baseline="0">
              <a:solidFill>
                <a:srgbClr val="000000"/>
              </a:solidFill>
              <a:latin typeface="Arial"/>
              <a:ea typeface="Arial"/>
              <a:cs typeface="Arial"/>
            </a:rPr>
            <a:t>Refrigerant = 4 to 5 tons of Ammonia
</a:t>
          </a:r>
          <a:r>
            <a:rPr lang="en-US" cap="none" sz="1000" b="0" i="0" u="none" baseline="0">
              <a:solidFill>
                <a:srgbClr val="000000"/>
              </a:solidFill>
              <a:latin typeface="Arial"/>
              <a:ea typeface="Arial"/>
              <a:cs typeface="Arial"/>
            </a:rPr>
            <a:t>Type = Chiller 75% &amp; Freezer 25%
</a:t>
          </a:r>
          <a:r>
            <a:rPr lang="en-US" cap="none" sz="1000" b="0" i="0" u="none" baseline="0">
              <a:solidFill>
                <a:srgbClr val="000000"/>
              </a:solidFill>
              <a:latin typeface="Arial"/>
              <a:ea typeface="Arial"/>
              <a:cs typeface="Arial"/>
            </a:rPr>
            <a:t>Refrigeration system design:
</a:t>
          </a:r>
          <a:r>
            <a:rPr lang="en-US" cap="none" sz="1000" b="0" i="0" u="none" baseline="0">
              <a:solidFill>
                <a:srgbClr val="000000"/>
              </a:solidFill>
              <a:latin typeface="Arial"/>
              <a:ea typeface="Arial"/>
              <a:cs typeface="Arial"/>
            </a:rPr>
            <a:t>Compound compressor, single motor driving 2 compressors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Low temp: 616kW x 2 @ -20oC, estimated heat load of 713kW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High temp: 916kW x 1 @ 2 to 4oC, estimated heat load of 574kW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Operating @ 816kW today with peak setting of 900kW 
E</a:t>
          </a:r>
          <a:r>
            <a:rPr lang="en-US" cap="none" sz="1000" b="0" i="0" u="none" baseline="0">
              <a:solidFill>
                <a:srgbClr val="000000"/>
              </a:solidFill>
              <a:latin typeface="Arial"/>
              <a:ea typeface="Arial"/>
              <a:cs typeface="Arial"/>
            </a:rPr>
            <a:t>nergy consumption = 16,735kWhrs/Day, operates 24/7, 365 days
E</a:t>
          </a:r>
          <a:r>
            <a:rPr lang="en-US" cap="none" sz="1000" b="0" i="0" u="none" baseline="0">
              <a:solidFill>
                <a:srgbClr val="000000"/>
              </a:solidFill>
              <a:latin typeface="Arial"/>
              <a:ea typeface="Arial"/>
              <a:cs typeface="Arial"/>
            </a:rPr>
            <a:t>stimate 85% of energy consumption is for refrigeration
M</a:t>
          </a:r>
          <a:r>
            <a:rPr lang="en-US" cap="none" sz="1000" b="0" i="0" u="none" baseline="0">
              <a:solidFill>
                <a:srgbClr val="000000"/>
              </a:solidFill>
              <a:latin typeface="Arial"/>
              <a:ea typeface="Arial"/>
              <a:cs typeface="Arial"/>
            </a:rPr>
            <a:t>aintenance = system only down for 4 hours, operates 99.5% of time  
R</a:t>
          </a:r>
          <a:r>
            <a:rPr lang="en-US" cap="none" sz="1000" b="0" i="0" u="none" baseline="0">
              <a:solidFill>
                <a:srgbClr val="000000"/>
              </a:solidFill>
              <a:latin typeface="Arial"/>
              <a:ea typeface="Arial"/>
              <a:cs typeface="Arial"/>
            </a:rPr>
            <a:t>efrigerant top up = 65kg cylinder every 3 years, 0.5% p.a.
E</a:t>
          </a:r>
          <a:r>
            <a:rPr lang="en-US" cap="none" sz="1000" b="0" i="0" u="none" baseline="0">
              <a:solidFill>
                <a:srgbClr val="000000"/>
              </a:solidFill>
              <a:latin typeface="Arial"/>
              <a:ea typeface="Arial"/>
              <a:cs typeface="Arial"/>
            </a:rPr>
            <a:t>nergy Bill = $329,000p.a. x 0.85 = $280,000p.a. on refrigeration</a:t>
          </a:r>
        </a:p>
      </xdr:txBody>
    </xdr:sp>
    <xdr:clientData/>
  </xdr:twoCellAnchor>
  <xdr:twoCellAnchor>
    <xdr:from>
      <xdr:col>9</xdr:col>
      <xdr:colOff>0</xdr:colOff>
      <xdr:row>2</xdr:row>
      <xdr:rowOff>19050</xdr:rowOff>
    </xdr:from>
    <xdr:to>
      <xdr:col>13</xdr:col>
      <xdr:colOff>514350</xdr:colOff>
      <xdr:row>16</xdr:row>
      <xdr:rowOff>38100</xdr:rowOff>
    </xdr:to>
    <xdr:sp>
      <xdr:nvSpPr>
        <xdr:cNvPr id="2" name="Text Box 4"/>
        <xdr:cNvSpPr txBox="1">
          <a:spLocks noChangeArrowheads="1"/>
        </xdr:cNvSpPr>
      </xdr:nvSpPr>
      <xdr:spPr>
        <a:xfrm>
          <a:off x="9020175" y="419100"/>
          <a:ext cx="3933825" cy="2609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Case Study
</a:t>
          </a:r>
          <a:r>
            <a:rPr lang="en-US" cap="none" sz="1000" b="0" i="0" u="none" baseline="0">
              <a:solidFill>
                <a:srgbClr val="000000"/>
              </a:solidFill>
              <a:latin typeface="Arial"/>
              <a:ea typeface="Arial"/>
              <a:cs typeface="Arial"/>
            </a:rPr>
            <a:t>Swire's Clayton, Victoria 
</a:t>
          </a:r>
          <a:r>
            <a:rPr lang="en-US" cap="none" sz="1000" b="0" i="0" u="none" baseline="0">
              <a:solidFill>
                <a:srgbClr val="000000"/>
              </a:solidFill>
              <a:latin typeface="Arial"/>
              <a:ea typeface="Arial"/>
              <a:cs typeface="Arial"/>
            </a:rPr>
            <a:t>Refrigerated Storage = 139,439m3
</a:t>
          </a:r>
          <a:r>
            <a:rPr lang="en-US" cap="none" sz="1000" b="0" i="0" u="none" baseline="0">
              <a:solidFill>
                <a:srgbClr val="000000"/>
              </a:solidFill>
              <a:latin typeface="Arial"/>
              <a:ea typeface="Arial"/>
              <a:cs typeface="Arial"/>
            </a:rPr>
            <a:t>Floor area = 10,728m2 (Av. height = 13.0m)
</a:t>
          </a:r>
          <a:r>
            <a:rPr lang="en-US" cap="none" sz="1000" b="0" i="0" u="none" baseline="0">
              <a:solidFill>
                <a:srgbClr val="000000"/>
              </a:solidFill>
              <a:latin typeface="Arial"/>
              <a:ea typeface="Arial"/>
              <a:cs typeface="Arial"/>
            </a:rPr>
            <a:t>Pallets = 22,000, non conventional (automated, cranes)
</a:t>
          </a:r>
          <a:r>
            <a:rPr lang="en-US" cap="none" sz="1000" b="0" i="0" u="none" baseline="0">
              <a:solidFill>
                <a:srgbClr val="000000"/>
              </a:solidFill>
              <a:latin typeface="Arial"/>
              <a:ea typeface="Arial"/>
              <a:cs typeface="Arial"/>
            </a:rPr>
            <a:t>No direct employees on site = 30 to 40 over 2 shifts
</a:t>
          </a:r>
          <a:r>
            <a:rPr lang="en-US" cap="none" sz="1000" b="0" i="0" u="none" baseline="0">
              <a:solidFill>
                <a:srgbClr val="000000"/>
              </a:solidFill>
              <a:latin typeface="Arial"/>
              <a:ea typeface="Arial"/>
              <a:cs typeface="Arial"/>
            </a:rPr>
            <a:t>Refrigerant = Approx. 6 tons of R22
</a:t>
          </a:r>
          <a:r>
            <a:rPr lang="en-US" cap="none" sz="1000" b="0" i="0" u="none" baseline="0">
              <a:solidFill>
                <a:srgbClr val="000000"/>
              </a:solidFill>
              <a:latin typeface="Arial"/>
              <a:ea typeface="Arial"/>
              <a:cs typeface="Arial"/>
            </a:rPr>
            <a:t>Type = Chiller 12% &amp; Freezer 88%
</a:t>
          </a:r>
          <a:r>
            <a:rPr lang="en-US" cap="none" sz="1000" b="0" i="0" u="none" baseline="0">
              <a:solidFill>
                <a:srgbClr val="000000"/>
              </a:solidFill>
              <a:latin typeface="Arial"/>
              <a:ea typeface="Arial"/>
              <a:cs typeface="Arial"/>
            </a:rPr>
            <a:t>Refrigeration system design: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3 individual screw compressors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Available cooling: 1616, Av. operating: 1200/700kW (summer/winter) 
E</a:t>
          </a:r>
          <a:r>
            <a:rPr lang="en-US" cap="none" sz="1000" b="0" i="0" u="none" baseline="0">
              <a:solidFill>
                <a:srgbClr val="000000"/>
              </a:solidFill>
              <a:latin typeface="Arial"/>
              <a:ea typeface="Arial"/>
              <a:cs typeface="Arial"/>
            </a:rPr>
            <a:t>nergy consumption = 17,647kWhrs/Day, operates 24/7, 365 days
E</a:t>
          </a:r>
          <a:r>
            <a:rPr lang="en-US" cap="none" sz="1000" b="0" i="0" u="none" baseline="0">
              <a:solidFill>
                <a:srgbClr val="000000"/>
              </a:solidFill>
              <a:latin typeface="Arial"/>
              <a:ea typeface="Arial"/>
              <a:cs typeface="Arial"/>
            </a:rPr>
            <a:t>stimate 85% of energy consumption is for refrigeration
M</a:t>
          </a:r>
          <a:r>
            <a:rPr lang="en-US" cap="none" sz="1000" b="0" i="0" u="none" baseline="0">
              <a:solidFill>
                <a:srgbClr val="000000"/>
              </a:solidFill>
              <a:latin typeface="Arial"/>
              <a:ea typeface="Arial"/>
              <a:cs typeface="Arial"/>
            </a:rPr>
            <a:t>aintenance = system only down for 4 hours, operates 99.5% of time  
R</a:t>
          </a:r>
          <a:r>
            <a:rPr lang="en-US" cap="none" sz="1000" b="0" i="0" u="none" baseline="0">
              <a:solidFill>
                <a:srgbClr val="000000"/>
              </a:solidFill>
              <a:latin typeface="Arial"/>
              <a:ea typeface="Arial"/>
              <a:cs typeface="Arial"/>
            </a:rPr>
            <a:t>efrigerant top up = 65kg cylinder every 1 year, 1% p.a.
E</a:t>
          </a:r>
          <a:r>
            <a:rPr lang="en-US" cap="none" sz="1000" b="0" i="0" u="none" baseline="0">
              <a:solidFill>
                <a:srgbClr val="000000"/>
              </a:solidFill>
              <a:latin typeface="Arial"/>
              <a:ea typeface="Arial"/>
              <a:cs typeface="Arial"/>
            </a:rPr>
            <a:t>nergy Bill = $368,000p.a. x 0.85 = $313,000p.a. on refrigeration
</a:t>
          </a:r>
        </a:p>
      </xdr:txBody>
    </xdr:sp>
    <xdr:clientData/>
  </xdr:twoCellAnchor>
  <xdr:twoCellAnchor>
    <xdr:from>
      <xdr:col>0</xdr:col>
      <xdr:colOff>9525</xdr:colOff>
      <xdr:row>20</xdr:row>
      <xdr:rowOff>0</xdr:rowOff>
    </xdr:from>
    <xdr:to>
      <xdr:col>2</xdr:col>
      <xdr:colOff>371475</xdr:colOff>
      <xdr:row>32</xdr:row>
      <xdr:rowOff>38100</xdr:rowOff>
    </xdr:to>
    <xdr:sp>
      <xdr:nvSpPr>
        <xdr:cNvPr id="3" name="Text Box 9"/>
        <xdr:cNvSpPr txBox="1">
          <a:spLocks noChangeArrowheads="1"/>
        </xdr:cNvSpPr>
      </xdr:nvSpPr>
      <xdr:spPr>
        <a:xfrm>
          <a:off x="9525" y="3638550"/>
          <a:ext cx="3362325" cy="19812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*Silvia Estrado-Flores from CSIRO Food Futures, November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IIR estimates refrigeration to account for 85% to 90% of total running expense, Swire study confirmed at 85%.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IARW, 2006 estimate 30% of storage facilities in the US are private, CSIRO assumed a conservative percentage of 20%.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Australian cold storage capacity = 7.568 / 0.8 = 9.46 Million m</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p>
      </xdr:txBody>
    </xdr:sp>
    <xdr:clientData/>
  </xdr:twoCellAnchor>
  <xdr:twoCellAnchor>
    <xdr:from>
      <xdr:col>5</xdr:col>
      <xdr:colOff>9525</xdr:colOff>
      <xdr:row>39</xdr:row>
      <xdr:rowOff>9525</xdr:rowOff>
    </xdr:from>
    <xdr:to>
      <xdr:col>9</xdr:col>
      <xdr:colOff>0</xdr:colOff>
      <xdr:row>47</xdr:row>
      <xdr:rowOff>104775</xdr:rowOff>
    </xdr:to>
    <xdr:sp>
      <xdr:nvSpPr>
        <xdr:cNvPr id="4" name="Text Box 13"/>
        <xdr:cNvSpPr txBox="1">
          <a:spLocks noChangeArrowheads="1"/>
        </xdr:cNvSpPr>
      </xdr:nvSpPr>
      <xdr:spPr>
        <a:xfrm>
          <a:off x="5543550" y="6886575"/>
          <a:ext cx="3476625"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Silvia Estrado-Flores from CSIRO Food Futures, November 2006 used two methods then an average of two methods) to estimate the Energy Consumption for Cold Storage, however the key difference between Swire actual &amp; CSIRO estimate is the kWh/m</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rate.
</a:t>
          </a:r>
          <a:r>
            <a:rPr lang="en-US" cap="none" sz="1000" b="0" i="0" u="none" baseline="0">
              <a:solidFill>
                <a:srgbClr val="000000"/>
              </a:solidFill>
              <a:latin typeface="Arial"/>
              <a:ea typeface="Arial"/>
              <a:cs typeface="Arial"/>
            </a:rPr>
            <a:t>CSIRO used 72kWh/m</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based on the average of 3 values sited in reports across NZ &amp; UK.  Based on interviews with Swire engineers, Swire actual was 32 to 39kWh/m</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0</xdr:rowOff>
    </xdr:from>
    <xdr:to>
      <xdr:col>8</xdr:col>
      <xdr:colOff>828675</xdr:colOff>
      <xdr:row>63</xdr:row>
      <xdr:rowOff>85725</xdr:rowOff>
    </xdr:to>
    <xdr:sp>
      <xdr:nvSpPr>
        <xdr:cNvPr id="1" name="Text Box 11"/>
        <xdr:cNvSpPr txBox="1">
          <a:spLocks noChangeArrowheads="1"/>
        </xdr:cNvSpPr>
      </xdr:nvSpPr>
      <xdr:spPr>
        <a:xfrm>
          <a:off x="4219575" y="8134350"/>
          <a:ext cx="4772025" cy="2838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Information Provided by Energy Engineer of Major Supermarket Chain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"From submetering we have installed in a number of our stores; and based on the refrigeration component of a typical store of total consumption, we know that for an average sized store we consume approximately 1,200,000 to 1,300,000 kWh per annum."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provides us with two equations: 
</a:t>
          </a:r>
          <a:r>
            <a:rPr lang="en-US" cap="none" sz="1000" b="0" i="0" u="none" baseline="0">
              <a:solidFill>
                <a:srgbClr val="000000"/>
              </a:solidFill>
              <a:latin typeface="Arial"/>
              <a:ea typeface="Arial"/>
              <a:cs typeface="Arial"/>
            </a:rPr>
            <a:t>Large = 350/250 x Medium 
</a:t>
          </a:r>
          <a:r>
            <a:rPr lang="en-US" cap="none" sz="1000" b="0" i="0" u="none" baseline="0">
              <a:solidFill>
                <a:srgbClr val="000000"/>
              </a:solidFill>
              <a:latin typeface="Arial"/>
              <a:ea typeface="Arial"/>
              <a:cs typeface="Arial"/>
            </a:rPr>
            <a:t>(Based on specifications provided by contractors on refrigeration requirements in Medium &amp; Large stores)
</a:t>
          </a:r>
          <a:r>
            <a:rPr lang="en-US" cap="none" sz="1000" b="0" i="0" u="none" baseline="0">
              <a:solidFill>
                <a:srgbClr val="000000"/>
              </a:solidFill>
              <a:latin typeface="Arial"/>
              <a:ea typeface="Arial"/>
              <a:cs typeface="Arial"/>
            </a:rPr>
            <a:t>Large x 1200/2700 + Medium x 1500/2700 = 1,250,000 kWh/a 
</a:t>
          </a:r>
          <a:r>
            <a:rPr lang="en-US" cap="none" sz="1000" b="0" i="0" u="none" baseline="0">
              <a:solidFill>
                <a:srgbClr val="000000"/>
              </a:solidFill>
              <a:latin typeface="Arial"/>
              <a:ea typeface="Arial"/>
              <a:cs typeface="Arial"/>
            </a:rPr>
            <a:t>(Assumed ratio of Major Supermarket chain providing information is indicative of rest of industry)
</a:t>
          </a:r>
          <a:r>
            <a:rPr lang="en-US" cap="none" sz="1000" b="0" i="0" u="none" baseline="0">
              <a:solidFill>
                <a:srgbClr val="000000"/>
              </a:solidFill>
              <a:latin typeface="Arial"/>
              <a:ea typeface="Arial"/>
              <a:cs typeface="Arial"/>
            </a:rPr>
            <a:t>Therefore
</a:t>
          </a:r>
          <a:r>
            <a:rPr lang="en-US" cap="none" sz="1000" b="0" i="0" u="none" baseline="0">
              <a:solidFill>
                <a:srgbClr val="000000"/>
              </a:solidFill>
              <a:latin typeface="Arial"/>
              <a:ea typeface="Arial"/>
              <a:cs typeface="Arial"/>
            </a:rPr>
            <a:t>Large Store = 1,543,972 kWh/a
</a:t>
          </a:r>
          <a:r>
            <a:rPr lang="en-US" cap="none" sz="1000" b="0" i="0" u="none" baseline="0">
              <a:solidFill>
                <a:srgbClr val="000000"/>
              </a:solidFill>
              <a:latin typeface="Arial"/>
              <a:ea typeface="Arial"/>
              <a:cs typeface="Arial"/>
            </a:rPr>
            <a:t>Medium Store = 1,014,610 kWh/a</a:t>
          </a:r>
        </a:p>
      </xdr:txBody>
    </xdr:sp>
    <xdr:clientData/>
  </xdr:twoCellAnchor>
  <xdr:twoCellAnchor>
    <xdr:from>
      <xdr:col>4</xdr:col>
      <xdr:colOff>0</xdr:colOff>
      <xdr:row>23</xdr:row>
      <xdr:rowOff>9525</xdr:rowOff>
    </xdr:from>
    <xdr:to>
      <xdr:col>9</xdr:col>
      <xdr:colOff>381000</xdr:colOff>
      <xdr:row>35</xdr:row>
      <xdr:rowOff>76200</xdr:rowOff>
    </xdr:to>
    <xdr:sp>
      <xdr:nvSpPr>
        <xdr:cNvPr id="2" name="Text Box 12"/>
        <xdr:cNvSpPr txBox="1">
          <a:spLocks noChangeArrowheads="1"/>
        </xdr:cNvSpPr>
      </xdr:nvSpPr>
      <xdr:spPr>
        <a:xfrm>
          <a:off x="4219575" y="4419600"/>
          <a:ext cx="5172075" cy="2009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Energy Consumption Estimation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Three methods were undertaken
</a:t>
          </a:r>
          <a:r>
            <a:rPr lang="en-US" cap="none" sz="1000" b="0" i="0" u="none" baseline="0">
              <a:solidFill>
                <a:srgbClr val="000000"/>
              </a:solidFill>
              <a:latin typeface="Arial"/>
              <a:ea typeface="Arial"/>
              <a:cs typeface="Arial"/>
            </a:rPr>
            <a:t>Method 1: Based on Supermarket Specifications provided by Contractors = </a:t>
          </a:r>
          <a:r>
            <a:rPr lang="en-US" cap="none" sz="1000" b="1" i="0" u="none" baseline="0">
              <a:solidFill>
                <a:srgbClr val="000000"/>
              </a:solidFill>
              <a:latin typeface="Arial"/>
              <a:ea typeface="Arial"/>
              <a:cs typeface="Arial"/>
            </a:rPr>
            <a:t>5,270 GWh/a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Method 2: Based on MEPS 2000 report adjusted to 2006 = 2,680 GWh/a
</a:t>
          </a:r>
          <a:r>
            <a:rPr lang="en-US" cap="none" sz="1000" b="0" i="0" u="none" baseline="0">
              <a:solidFill>
                <a:srgbClr val="000000"/>
              </a:solidFill>
              <a:latin typeface="Arial"/>
              <a:ea typeface="Arial"/>
              <a:cs typeface="Arial"/>
            </a:rPr>
            <a:t>Method 3: Based on actual kWh/a in supermarkets = 3,746 GWh/a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Have adhered to result obtained in Method 1: despite actual data provided by major supermarket chain suggests an estimate of 3,746 GWh/a.  The estimate was based on sub-metering in Target stores which can under estimate energy consumption of low efficiency stores.  There are significant energy consumption differentiators including sub-coolers, floating head technology &amp; studies on reconditioning stores have reported improvements up to 20%.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discussion is required with major supermarket chain or energy providers to qualify further.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6">
      <selection activeCell="F19" sqref="F19"/>
    </sheetView>
  </sheetViews>
  <sheetFormatPr defaultColWidth="9.140625" defaultRowHeight="12.75"/>
  <cols>
    <col min="1" max="1" width="48.8515625" style="0" customWidth="1"/>
    <col min="2" max="2" width="31.00390625" style="0" customWidth="1"/>
  </cols>
  <sheetData>
    <row r="1" ht="77.25" customHeight="1">
      <c r="A1" s="371" t="s">
        <v>846</v>
      </c>
    </row>
    <row r="2" ht="40.5" customHeight="1">
      <c r="A2" s="308" t="s">
        <v>849</v>
      </c>
    </row>
    <row r="3" spans="1:2" ht="27.75" customHeight="1">
      <c r="A3" s="4" t="s">
        <v>851</v>
      </c>
      <c r="B3" s="370" t="s">
        <v>863</v>
      </c>
    </row>
    <row r="4" spans="1:2" ht="27.75" customHeight="1">
      <c r="A4" s="4" t="s">
        <v>878</v>
      </c>
      <c r="B4" s="370" t="s">
        <v>879</v>
      </c>
    </row>
    <row r="5" spans="1:2" ht="27.75" customHeight="1">
      <c r="A5" s="4" t="s">
        <v>376</v>
      </c>
      <c r="B5" s="370" t="s">
        <v>864</v>
      </c>
    </row>
    <row r="6" spans="1:2" ht="27.75" customHeight="1">
      <c r="A6" s="4" t="s">
        <v>865</v>
      </c>
      <c r="B6" s="370" t="s">
        <v>866</v>
      </c>
    </row>
    <row r="7" spans="1:2" ht="27.75" customHeight="1">
      <c r="A7" s="4" t="s">
        <v>867</v>
      </c>
      <c r="B7" s="370" t="s">
        <v>877</v>
      </c>
    </row>
    <row r="8" spans="1:2" ht="27.75" customHeight="1">
      <c r="A8" s="4"/>
      <c r="B8" s="370"/>
    </row>
    <row r="9" spans="1:2" ht="27.75" customHeight="1">
      <c r="A9" s="4" t="s">
        <v>872</v>
      </c>
      <c r="B9" s="370" t="s">
        <v>873</v>
      </c>
    </row>
    <row r="10" spans="1:2" ht="27.75" customHeight="1">
      <c r="A10" s="4"/>
      <c r="B10" s="370"/>
    </row>
    <row r="11" ht="27.75" customHeight="1">
      <c r="A11" s="308" t="s">
        <v>850</v>
      </c>
    </row>
    <row r="12" spans="1:2" ht="27.75" customHeight="1">
      <c r="A12" s="4" t="s">
        <v>851</v>
      </c>
      <c r="B12" s="370" t="s">
        <v>869</v>
      </c>
    </row>
    <row r="13" spans="1:2" ht="38.25" customHeight="1">
      <c r="A13" s="4" t="s">
        <v>847</v>
      </c>
      <c r="B13" s="370">
        <f>'AC Summary'!$H$14-'AC Summary'!$H$9</f>
        <v>3661067042.7272725</v>
      </c>
    </row>
    <row r="14" spans="1:2" ht="33.75" customHeight="1">
      <c r="A14" s="4" t="s">
        <v>848</v>
      </c>
      <c r="B14" s="370">
        <f>'Domestic Appliances'!$I$12</f>
        <v>747217018.1078029</v>
      </c>
    </row>
    <row r="15" spans="1:2" ht="33.75" customHeight="1">
      <c r="A15" s="4" t="s">
        <v>868</v>
      </c>
      <c r="B15" s="370" t="s">
        <v>952</v>
      </c>
    </row>
    <row r="16" spans="1:2" ht="31.5" customHeight="1">
      <c r="A16" s="4" t="s">
        <v>870</v>
      </c>
      <c r="B16" s="370" t="s">
        <v>871</v>
      </c>
    </row>
    <row r="17" spans="1:2" ht="39" customHeight="1">
      <c r="A17" s="4" t="s">
        <v>874</v>
      </c>
      <c r="B17" s="370" t="s">
        <v>875</v>
      </c>
    </row>
    <row r="18" ht="30" customHeight="1"/>
    <row r="19" spans="1:2" ht="33.75" customHeight="1">
      <c r="A19" s="4" t="s">
        <v>876</v>
      </c>
      <c r="B19" s="370" t="s">
        <v>953</v>
      </c>
    </row>
  </sheetData>
  <sheetProtection/>
  <printOptions/>
  <pageMargins left="0.75" right="0.75" top="1" bottom="1" header="0.5" footer="0.5"/>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dimension ref="A1:M53"/>
  <sheetViews>
    <sheetView zoomScalePageLayoutView="0" workbookViewId="0" topLeftCell="A1">
      <selection activeCell="A19" sqref="A19"/>
    </sheetView>
  </sheetViews>
  <sheetFormatPr defaultColWidth="9.140625" defaultRowHeight="12.75"/>
  <cols>
    <col min="1" max="1" width="27.28125" style="0" customWidth="1"/>
    <col min="2" max="2" width="17.7109375" style="0" customWidth="1"/>
    <col min="3" max="3" width="10.421875" style="0" customWidth="1"/>
    <col min="4" max="4" width="16.7109375" style="0" customWidth="1"/>
    <col min="5" max="5" width="10.8515625" style="0" bestFit="1" customWidth="1"/>
    <col min="6" max="6" width="12.00390625" style="0" customWidth="1"/>
    <col min="7" max="7" width="18.28125" style="0" customWidth="1"/>
    <col min="8" max="8" width="11.8515625" style="0" customWidth="1"/>
    <col min="9" max="10" width="10.140625" style="0" bestFit="1" customWidth="1"/>
    <col min="11" max="11" width="20.421875" style="0" customWidth="1"/>
    <col min="12" max="12" width="11.57421875" style="0" bestFit="1" customWidth="1"/>
  </cols>
  <sheetData>
    <row r="1" ht="15.75">
      <c r="A1" s="97" t="s">
        <v>566</v>
      </c>
    </row>
    <row r="2" spans="1:10" ht="15.75">
      <c r="A2" s="97" t="s">
        <v>832</v>
      </c>
      <c r="D2" s="97" t="s">
        <v>258</v>
      </c>
      <c r="J2" s="97" t="s">
        <v>259</v>
      </c>
    </row>
    <row r="3" spans="1:8" ht="38.25" customHeight="1">
      <c r="A3" s="96" t="s">
        <v>235</v>
      </c>
      <c r="B3" s="93" t="s">
        <v>833</v>
      </c>
      <c r="D3" s="93" t="s">
        <v>195</v>
      </c>
      <c r="E3" s="93" t="s">
        <v>196</v>
      </c>
      <c r="F3" s="93" t="s">
        <v>197</v>
      </c>
      <c r="G3" s="93" t="s">
        <v>237</v>
      </c>
      <c r="H3" s="93" t="s">
        <v>198</v>
      </c>
    </row>
    <row r="4" spans="1:12" ht="12.75">
      <c r="A4" s="9" t="s">
        <v>236</v>
      </c>
      <c r="B4" s="9">
        <v>2.022</v>
      </c>
      <c r="D4" s="76" t="s">
        <v>199</v>
      </c>
      <c r="E4" s="76" t="s">
        <v>200</v>
      </c>
      <c r="F4" s="76" t="s">
        <v>201</v>
      </c>
      <c r="G4" s="77">
        <v>139439</v>
      </c>
      <c r="H4" s="94">
        <v>6</v>
      </c>
      <c r="K4" s="87"/>
      <c r="L4" s="87"/>
    </row>
    <row r="5" spans="1:13" ht="12.75">
      <c r="A5" s="9" t="s">
        <v>238</v>
      </c>
      <c r="B5" s="9">
        <v>0.88</v>
      </c>
      <c r="D5" s="76" t="s">
        <v>202</v>
      </c>
      <c r="E5" s="76" t="s">
        <v>200</v>
      </c>
      <c r="F5" s="76" t="s">
        <v>201</v>
      </c>
      <c r="G5" s="77">
        <v>115980</v>
      </c>
      <c r="H5" s="94">
        <v>5</v>
      </c>
      <c r="K5" s="87"/>
      <c r="L5" s="91"/>
      <c r="M5" s="90"/>
    </row>
    <row r="6" spans="1:13" ht="12.75">
      <c r="A6" s="9" t="s">
        <v>239</v>
      </c>
      <c r="B6" s="9">
        <v>0.996</v>
      </c>
      <c r="D6" s="76" t="s">
        <v>203</v>
      </c>
      <c r="E6" s="76" t="s">
        <v>200</v>
      </c>
      <c r="F6" s="76" t="s">
        <v>204</v>
      </c>
      <c r="G6" s="77">
        <v>160449</v>
      </c>
      <c r="H6" s="94">
        <v>4.5</v>
      </c>
      <c r="I6" s="32"/>
      <c r="K6" s="87"/>
      <c r="L6" s="91"/>
      <c r="M6" s="88"/>
    </row>
    <row r="7" spans="1:13" ht="12.75">
      <c r="A7" s="9" t="s">
        <v>240</v>
      </c>
      <c r="B7" s="9">
        <v>1.6</v>
      </c>
      <c r="D7" s="76" t="s">
        <v>254</v>
      </c>
      <c r="E7" s="76" t="s">
        <v>200</v>
      </c>
      <c r="F7" s="76" t="s">
        <v>204</v>
      </c>
      <c r="G7" s="79">
        <v>23132</v>
      </c>
      <c r="H7" s="95" t="s">
        <v>13</v>
      </c>
      <c r="I7" s="32"/>
      <c r="K7" s="87"/>
      <c r="L7" s="91"/>
      <c r="M7" s="88"/>
    </row>
    <row r="8" spans="1:13" ht="12.75">
      <c r="A8" s="9" t="s">
        <v>241</v>
      </c>
      <c r="B8" s="9">
        <v>0.25</v>
      </c>
      <c r="D8" s="76" t="s">
        <v>205</v>
      </c>
      <c r="E8" s="76" t="s">
        <v>163</v>
      </c>
      <c r="F8" s="76" t="s">
        <v>201</v>
      </c>
      <c r="G8" s="77">
        <v>116779</v>
      </c>
      <c r="H8" s="94">
        <v>5</v>
      </c>
      <c r="K8" s="87"/>
      <c r="L8" s="91"/>
      <c r="M8" s="88"/>
    </row>
    <row r="9" spans="1:13" ht="12.75">
      <c r="A9" s="9" t="s">
        <v>242</v>
      </c>
      <c r="B9" s="9">
        <v>0.15</v>
      </c>
      <c r="D9" s="76" t="s">
        <v>206</v>
      </c>
      <c r="E9" s="76" t="s">
        <v>163</v>
      </c>
      <c r="F9" s="76" t="s">
        <v>201</v>
      </c>
      <c r="G9" s="77">
        <v>84432</v>
      </c>
      <c r="H9" s="94">
        <v>4</v>
      </c>
      <c r="I9" s="32"/>
      <c r="K9" s="87"/>
      <c r="L9" s="91"/>
      <c r="M9" s="88"/>
    </row>
    <row r="10" spans="1:13" ht="12.75">
      <c r="A10" s="9" t="s">
        <v>243</v>
      </c>
      <c r="B10" s="9">
        <v>0.04</v>
      </c>
      <c r="D10" s="76" t="s">
        <v>207</v>
      </c>
      <c r="E10" s="76" t="s">
        <v>163</v>
      </c>
      <c r="F10" s="76" t="s">
        <v>201</v>
      </c>
      <c r="G10" s="77">
        <v>73219</v>
      </c>
      <c r="H10" s="94">
        <v>3</v>
      </c>
      <c r="I10" s="32"/>
      <c r="K10" s="87"/>
      <c r="L10" s="91"/>
      <c r="M10" s="88"/>
    </row>
    <row r="11" spans="1:13" ht="12.75">
      <c r="A11" s="9" t="s">
        <v>244</v>
      </c>
      <c r="B11" s="9">
        <v>0.04</v>
      </c>
      <c r="D11" s="76" t="s">
        <v>253</v>
      </c>
      <c r="E11" s="76" t="s">
        <v>163</v>
      </c>
      <c r="F11" s="76" t="s">
        <v>204</v>
      </c>
      <c r="G11" s="79">
        <v>126570</v>
      </c>
      <c r="H11" s="95">
        <v>5</v>
      </c>
      <c r="I11" s="32"/>
      <c r="K11" s="87"/>
      <c r="L11" s="91"/>
      <c r="M11" s="88"/>
    </row>
    <row r="12" spans="1:13" ht="12.75">
      <c r="A12" s="9" t="s">
        <v>245</v>
      </c>
      <c r="B12" s="9">
        <v>0.04</v>
      </c>
      <c r="D12" s="76" t="s">
        <v>252</v>
      </c>
      <c r="E12" s="76" t="s">
        <v>163</v>
      </c>
      <c r="F12" s="76" t="s">
        <v>204</v>
      </c>
      <c r="G12" s="77">
        <v>90249</v>
      </c>
      <c r="H12" s="94">
        <v>5</v>
      </c>
      <c r="K12" s="87"/>
      <c r="L12" s="91"/>
      <c r="M12" s="88"/>
    </row>
    <row r="13" spans="1:13" ht="12.75">
      <c r="A13" s="9" t="s">
        <v>246</v>
      </c>
      <c r="B13" s="9">
        <v>0.04</v>
      </c>
      <c r="D13" s="76" t="s">
        <v>208</v>
      </c>
      <c r="E13" s="76" t="s">
        <v>209</v>
      </c>
      <c r="F13" s="76" t="s">
        <v>201</v>
      </c>
      <c r="G13" s="77">
        <v>149978</v>
      </c>
      <c r="H13" s="94">
        <v>6</v>
      </c>
      <c r="I13" s="32"/>
      <c r="K13" s="87"/>
      <c r="L13" s="92"/>
      <c r="M13" s="89"/>
    </row>
    <row r="14" spans="1:13" ht="12.75">
      <c r="A14" s="9" t="s">
        <v>247</v>
      </c>
      <c r="B14" s="9">
        <v>0.06</v>
      </c>
      <c r="D14" s="76" t="s">
        <v>210</v>
      </c>
      <c r="E14" s="76" t="s">
        <v>209</v>
      </c>
      <c r="F14" s="76" t="s">
        <v>204</v>
      </c>
      <c r="G14" s="77">
        <v>56634</v>
      </c>
      <c r="H14" s="94">
        <v>2</v>
      </c>
      <c r="K14" s="87"/>
      <c r="L14" s="91"/>
      <c r="M14" s="90"/>
    </row>
    <row r="15" spans="1:12" ht="12.75">
      <c r="A15" s="9" t="s">
        <v>248</v>
      </c>
      <c r="B15" s="9">
        <v>0.08</v>
      </c>
      <c r="D15" s="76" t="s">
        <v>211</v>
      </c>
      <c r="E15" s="76" t="s">
        <v>209</v>
      </c>
      <c r="F15" s="76" t="s">
        <v>204</v>
      </c>
      <c r="G15" s="77">
        <v>67246</v>
      </c>
      <c r="H15" s="94">
        <v>2.5</v>
      </c>
      <c r="K15" s="87"/>
      <c r="L15" s="92"/>
    </row>
    <row r="16" spans="1:8" ht="12.75">
      <c r="A16" s="9" t="s">
        <v>249</v>
      </c>
      <c r="B16" s="9">
        <v>0.28</v>
      </c>
      <c r="D16" s="76" t="s">
        <v>212</v>
      </c>
      <c r="E16" s="76" t="s">
        <v>209</v>
      </c>
      <c r="F16" s="76" t="s">
        <v>204</v>
      </c>
      <c r="G16" s="77">
        <v>59087</v>
      </c>
      <c r="H16" s="94">
        <v>2.5</v>
      </c>
    </row>
    <row r="17" spans="1:9" ht="12.75">
      <c r="A17" s="9" t="s">
        <v>250</v>
      </c>
      <c r="B17" s="9">
        <v>0.13</v>
      </c>
      <c r="D17" s="76" t="s">
        <v>213</v>
      </c>
      <c r="E17" s="76" t="s">
        <v>209</v>
      </c>
      <c r="F17" s="76" t="s">
        <v>204</v>
      </c>
      <c r="G17" s="77">
        <v>209544</v>
      </c>
      <c r="H17" s="94">
        <v>6</v>
      </c>
      <c r="I17" s="32"/>
    </row>
    <row r="18" spans="1:9" ht="12.75">
      <c r="A18" s="9" t="s">
        <v>834</v>
      </c>
      <c r="B18" s="9">
        <v>0.960795</v>
      </c>
      <c r="D18" s="76" t="s">
        <v>255</v>
      </c>
      <c r="E18" s="76" t="s">
        <v>209</v>
      </c>
      <c r="F18" s="76" t="s">
        <v>13</v>
      </c>
      <c r="G18" s="79">
        <v>5511</v>
      </c>
      <c r="H18" s="94" t="s">
        <v>13</v>
      </c>
      <c r="I18" s="32"/>
    </row>
    <row r="19" spans="1:9" ht="12.75">
      <c r="A19" s="9"/>
      <c r="B19" s="9"/>
      <c r="D19" s="76" t="s">
        <v>214</v>
      </c>
      <c r="E19" s="76" t="s">
        <v>209</v>
      </c>
      <c r="F19" s="76" t="s">
        <v>204</v>
      </c>
      <c r="G19" s="77">
        <v>8170</v>
      </c>
      <c r="H19" s="94">
        <v>2</v>
      </c>
      <c r="I19" s="32"/>
    </row>
    <row r="20" spans="1:8" ht="12.75">
      <c r="A20" s="9" t="s">
        <v>251</v>
      </c>
      <c r="B20" s="9">
        <f>SUM(B4:B19)</f>
        <v>7.568795</v>
      </c>
      <c r="D20" s="76" t="s">
        <v>215</v>
      </c>
      <c r="E20" s="76" t="s">
        <v>216</v>
      </c>
      <c r="F20" s="76" t="s">
        <v>217</v>
      </c>
      <c r="G20" s="77">
        <v>18471</v>
      </c>
      <c r="H20" s="94">
        <v>2</v>
      </c>
    </row>
    <row r="21" spans="4:9" ht="12.75">
      <c r="D21" s="76" t="s">
        <v>256</v>
      </c>
      <c r="E21" s="76" t="s">
        <v>216</v>
      </c>
      <c r="F21" s="76" t="s">
        <v>13</v>
      </c>
      <c r="G21" s="79">
        <v>5529</v>
      </c>
      <c r="H21" s="94" t="s">
        <v>13</v>
      </c>
      <c r="I21" s="32"/>
    </row>
    <row r="22" spans="4:8" ht="12.75">
      <c r="D22" s="76" t="s">
        <v>218</v>
      </c>
      <c r="E22" s="76" t="s">
        <v>166</v>
      </c>
      <c r="F22" s="76" t="s">
        <v>204</v>
      </c>
      <c r="G22" s="77">
        <v>49721</v>
      </c>
      <c r="H22" s="94">
        <v>2</v>
      </c>
    </row>
    <row r="23" spans="4:8" ht="12.75">
      <c r="D23" s="76" t="s">
        <v>219</v>
      </c>
      <c r="E23" s="76" t="s">
        <v>166</v>
      </c>
      <c r="F23" s="76" t="s">
        <v>204</v>
      </c>
      <c r="G23" s="77">
        <v>62966</v>
      </c>
      <c r="H23" s="94">
        <v>2</v>
      </c>
    </row>
    <row r="24" spans="4:8" ht="12.75">
      <c r="D24" s="76" t="s">
        <v>220</v>
      </c>
      <c r="E24" s="76" t="s">
        <v>166</v>
      </c>
      <c r="F24" s="76" t="s">
        <v>204</v>
      </c>
      <c r="G24" s="77">
        <v>42012</v>
      </c>
      <c r="H24" s="94">
        <v>2</v>
      </c>
    </row>
    <row r="25" spans="4:9" ht="12.75">
      <c r="D25" s="76" t="s">
        <v>221</v>
      </c>
      <c r="E25" s="76" t="s">
        <v>166</v>
      </c>
      <c r="F25" s="76" t="s">
        <v>204</v>
      </c>
      <c r="G25" s="77">
        <v>40188</v>
      </c>
      <c r="H25" s="94">
        <v>2</v>
      </c>
      <c r="I25" s="73"/>
    </row>
    <row r="26" spans="4:9" ht="12.75">
      <c r="D26" s="76" t="s">
        <v>222</v>
      </c>
      <c r="E26" s="76" t="s">
        <v>166</v>
      </c>
      <c r="F26" s="76" t="s">
        <v>204</v>
      </c>
      <c r="G26" s="77">
        <v>42463</v>
      </c>
      <c r="H26" s="94">
        <v>2</v>
      </c>
      <c r="I26" s="32"/>
    </row>
    <row r="27" spans="4:8" ht="12.75">
      <c r="D27" s="76" t="s">
        <v>223</v>
      </c>
      <c r="E27" s="76" t="s">
        <v>166</v>
      </c>
      <c r="F27" s="76" t="s">
        <v>204</v>
      </c>
      <c r="G27" s="77">
        <v>45000</v>
      </c>
      <c r="H27" s="94">
        <v>2</v>
      </c>
    </row>
    <row r="28" spans="4:9" ht="12.75">
      <c r="D28" s="76" t="s">
        <v>224</v>
      </c>
      <c r="E28" s="76" t="s">
        <v>168</v>
      </c>
      <c r="F28" s="76" t="s">
        <v>204</v>
      </c>
      <c r="G28" s="77">
        <v>159679</v>
      </c>
      <c r="H28" s="94">
        <v>5</v>
      </c>
      <c r="I28" s="73"/>
    </row>
    <row r="29" spans="4:8" ht="12.75">
      <c r="D29" s="76" t="s">
        <v>225</v>
      </c>
      <c r="E29" s="76" t="s">
        <v>168</v>
      </c>
      <c r="F29" s="76" t="s">
        <v>204</v>
      </c>
      <c r="G29" s="77">
        <v>66014</v>
      </c>
      <c r="H29" s="94">
        <v>2.5</v>
      </c>
    </row>
    <row r="30" spans="4:8" ht="12.75">
      <c r="D30" s="76" t="s">
        <v>257</v>
      </c>
      <c r="E30" s="76" t="s">
        <v>167</v>
      </c>
      <c r="F30" s="76" t="s">
        <v>13</v>
      </c>
      <c r="G30" s="79">
        <v>2800</v>
      </c>
      <c r="H30" s="95">
        <v>1</v>
      </c>
    </row>
    <row r="31" spans="4:8" ht="12.75">
      <c r="D31" s="76" t="s">
        <v>251</v>
      </c>
      <c r="E31" s="76"/>
      <c r="F31" s="76"/>
      <c r="G31" s="77">
        <f>SUM(G4:G30)</f>
        <v>2021262</v>
      </c>
      <c r="H31" s="94">
        <f>SUM(H4:H30)</f>
        <v>81</v>
      </c>
    </row>
    <row r="34" ht="12.75">
      <c r="A34" s="1" t="s">
        <v>559</v>
      </c>
    </row>
    <row r="35" spans="1:9" ht="25.5">
      <c r="A35" s="75" t="s">
        <v>195</v>
      </c>
      <c r="B35" s="75" t="s">
        <v>197</v>
      </c>
      <c r="C35" s="75" t="s">
        <v>226</v>
      </c>
      <c r="D35" s="75" t="s">
        <v>227</v>
      </c>
      <c r="E35" s="75" t="s">
        <v>228</v>
      </c>
      <c r="F35" s="75" t="s">
        <v>229</v>
      </c>
      <c r="G35" s="75" t="s">
        <v>562</v>
      </c>
      <c r="H35" s="75" t="s">
        <v>230</v>
      </c>
      <c r="I35" s="75" t="s">
        <v>231</v>
      </c>
    </row>
    <row r="36" spans="1:10" ht="12.75">
      <c r="A36" s="9" t="s">
        <v>199</v>
      </c>
      <c r="B36" s="9" t="s">
        <v>201</v>
      </c>
      <c r="C36" s="77">
        <v>139439</v>
      </c>
      <c r="D36" s="81">
        <v>17647</v>
      </c>
      <c r="E36" s="81">
        <f>D36*365</f>
        <v>6441155</v>
      </c>
      <c r="F36" s="271">
        <v>368000</v>
      </c>
      <c r="G36" s="82">
        <f>F36/E36</f>
        <v>0.057132610533359315</v>
      </c>
      <c r="H36" s="83">
        <f>E36/C36</f>
        <v>46.193353365987996</v>
      </c>
      <c r="I36" s="83">
        <f>H36*0.85</f>
        <v>39.2643503610898</v>
      </c>
      <c r="J36" s="84"/>
    </row>
    <row r="37" spans="1:9" ht="12.75">
      <c r="A37" s="9" t="s">
        <v>203</v>
      </c>
      <c r="B37" s="9" t="s">
        <v>204</v>
      </c>
      <c r="C37" s="77">
        <v>160449</v>
      </c>
      <c r="D37" s="81">
        <v>16735</v>
      </c>
      <c r="E37" s="81">
        <f>D37*365</f>
        <v>6108275</v>
      </c>
      <c r="F37" s="271">
        <v>329000</v>
      </c>
      <c r="G37" s="82">
        <f>F37/E37</f>
        <v>0.053861360203985575</v>
      </c>
      <c r="H37" s="83">
        <f>E37/C37</f>
        <v>38.069885134840355</v>
      </c>
      <c r="I37" s="83">
        <f>H37*0.85</f>
        <v>32.359402364614304</v>
      </c>
    </row>
    <row r="38" spans="1:9" ht="12.75">
      <c r="A38" s="266"/>
      <c r="B38" s="145"/>
      <c r="C38" s="231"/>
      <c r="D38" s="86"/>
      <c r="E38" s="86"/>
      <c r="F38" s="268"/>
      <c r="G38" s="269"/>
      <c r="H38" s="270"/>
      <c r="I38" s="270"/>
    </row>
    <row r="39" ht="12.75">
      <c r="A39" s="267"/>
    </row>
    <row r="40" ht="12.75">
      <c r="A40" s="1" t="s">
        <v>561</v>
      </c>
    </row>
    <row r="41" spans="1:4" ht="24.75" customHeight="1">
      <c r="A41" s="103"/>
      <c r="B41" s="75" t="s">
        <v>565</v>
      </c>
      <c r="C41" s="439" t="s">
        <v>564</v>
      </c>
      <c r="D41" s="440"/>
    </row>
    <row r="42" spans="1:4" ht="12.75">
      <c r="A42" s="129" t="s">
        <v>204</v>
      </c>
      <c r="B42" s="136">
        <f>0.75*B49*B50</f>
        <v>227.04000000000002</v>
      </c>
      <c r="C42" s="441">
        <f>B44</f>
        <v>319.27500000000003</v>
      </c>
      <c r="D42" s="442"/>
    </row>
    <row r="43" spans="1:4" ht="12.75">
      <c r="A43" s="129" t="s">
        <v>201</v>
      </c>
      <c r="B43" s="136">
        <f>0.25*B49*B51</f>
        <v>92.23500000000001</v>
      </c>
      <c r="C43" s="384">
        <v>605</v>
      </c>
      <c r="D43" s="386"/>
    </row>
    <row r="44" spans="1:4" ht="12.75">
      <c r="A44" s="129"/>
      <c r="B44" s="136">
        <f>SUM(B42:B43)</f>
        <v>319.27500000000003</v>
      </c>
      <c r="C44" s="443">
        <f>SUM(C42:C43)/2</f>
        <v>462.13750000000005</v>
      </c>
      <c r="D44" s="444"/>
    </row>
    <row r="45" spans="1:4" ht="12.75">
      <c r="A45" s="266"/>
      <c r="B45" s="272"/>
      <c r="C45" s="274" t="s">
        <v>569</v>
      </c>
      <c r="D45" s="275">
        <f>C44</f>
        <v>462.13750000000005</v>
      </c>
    </row>
    <row r="46" ht="12.75">
      <c r="A46" t="s">
        <v>232</v>
      </c>
    </row>
    <row r="47" spans="1:2" ht="12.75">
      <c r="A47" t="s">
        <v>161</v>
      </c>
      <c r="B47" s="2" t="s">
        <v>563</v>
      </c>
    </row>
    <row r="48" spans="1:2" ht="12.75">
      <c r="A48" t="s">
        <v>233</v>
      </c>
      <c r="B48" s="2" t="s">
        <v>560</v>
      </c>
    </row>
    <row r="49" spans="1:2" ht="15">
      <c r="A49" t="s">
        <v>831</v>
      </c>
      <c r="B49" s="2">
        <v>9.46</v>
      </c>
    </row>
    <row r="50" spans="1:2" ht="15">
      <c r="A50" t="s">
        <v>829</v>
      </c>
      <c r="B50" s="2">
        <v>32</v>
      </c>
    </row>
    <row r="51" spans="1:2" ht="15">
      <c r="A51" t="s">
        <v>830</v>
      </c>
      <c r="B51" s="2">
        <v>39</v>
      </c>
    </row>
    <row r="52" spans="1:2" ht="12.75">
      <c r="A52" t="s">
        <v>234</v>
      </c>
      <c r="B52" s="13">
        <v>0.85</v>
      </c>
    </row>
    <row r="53" ht="12.75">
      <c r="C53" s="2"/>
    </row>
  </sheetData>
  <sheetProtection/>
  <mergeCells count="4">
    <mergeCell ref="C41:D41"/>
    <mergeCell ref="C42:D42"/>
    <mergeCell ref="C43:D43"/>
    <mergeCell ref="C44:D44"/>
  </mergeCells>
  <printOptions/>
  <pageMargins left="0.75" right="0.75" top="1" bottom="1" header="0.5" footer="0.5"/>
  <pageSetup horizontalDpi="200" verticalDpi="200" orientation="portrait" r:id="rId4"/>
  <headerFooter alignWithMargins="0">
    <oddHeader>&amp;LCONFIDENTIAL&amp;RChilling Insights Report May 2007</oddHeader>
    <oddFooter>&amp;LPrepared by Energy Strategies Pty Ltd with Expert Air</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L63"/>
  <sheetViews>
    <sheetView zoomScalePageLayoutView="0" workbookViewId="0" topLeftCell="A26">
      <selection activeCell="D47" sqref="D47"/>
    </sheetView>
  </sheetViews>
  <sheetFormatPr defaultColWidth="9.140625" defaultRowHeight="12.75"/>
  <cols>
    <col min="1" max="1" width="34.00390625" style="0" bestFit="1" customWidth="1"/>
    <col min="2" max="2" width="10.57421875" style="0" bestFit="1" customWidth="1"/>
    <col min="3" max="3" width="11.28125" style="0" bestFit="1" customWidth="1"/>
    <col min="4" max="4" width="7.421875" style="0" customWidth="1"/>
    <col min="5" max="5" width="21.00390625" style="0" bestFit="1" customWidth="1"/>
    <col min="6" max="6" width="12.7109375" style="0" bestFit="1" customWidth="1"/>
    <col min="7" max="7" width="12.7109375" style="0" customWidth="1"/>
    <col min="8" max="9" width="12.7109375" style="0" bestFit="1" customWidth="1"/>
    <col min="10" max="10" width="13.7109375" style="0" bestFit="1" customWidth="1"/>
    <col min="11" max="11" width="15.57421875" style="0" bestFit="1" customWidth="1"/>
    <col min="12" max="12" width="12.7109375" style="0" bestFit="1" customWidth="1"/>
  </cols>
  <sheetData>
    <row r="1" ht="15.75">
      <c r="A1" s="97" t="s">
        <v>580</v>
      </c>
    </row>
    <row r="2" ht="12.75">
      <c r="A2" s="1" t="s">
        <v>583</v>
      </c>
    </row>
    <row r="3" spans="1:12" ht="38.25">
      <c r="A3" s="100" t="s">
        <v>260</v>
      </c>
      <c r="B3" s="75" t="s">
        <v>290</v>
      </c>
      <c r="C3" s="75" t="s">
        <v>281</v>
      </c>
      <c r="E3" s="100" t="s">
        <v>285</v>
      </c>
      <c r="F3" s="75" t="s">
        <v>451</v>
      </c>
      <c r="G3" s="75" t="s">
        <v>283</v>
      </c>
      <c r="H3" s="75" t="s">
        <v>451</v>
      </c>
      <c r="I3" s="75" t="s">
        <v>228</v>
      </c>
      <c r="K3" s="281" t="s">
        <v>503</v>
      </c>
      <c r="L3" s="75" t="s">
        <v>446</v>
      </c>
    </row>
    <row r="4" spans="1:12" ht="12.75">
      <c r="A4" s="9" t="s">
        <v>105</v>
      </c>
      <c r="B4" s="158">
        <f>C4/$C$9</f>
        <v>0.7171295225395615</v>
      </c>
      <c r="C4" s="280">
        <v>5270.4</v>
      </c>
      <c r="E4" s="9" t="s">
        <v>265</v>
      </c>
      <c r="F4" s="81">
        <v>350000</v>
      </c>
      <c r="G4" s="199">
        <v>1200</v>
      </c>
      <c r="H4" s="81">
        <f>F4*G4</f>
        <v>420000000</v>
      </c>
      <c r="I4" s="200">
        <f>H4*16/2.5</f>
        <v>2688000000</v>
      </c>
      <c r="K4" s="102" t="s">
        <v>447</v>
      </c>
      <c r="L4" s="78">
        <v>16</v>
      </c>
    </row>
    <row r="5" spans="1:12" ht="12.75">
      <c r="A5" s="9" t="s">
        <v>261</v>
      </c>
      <c r="B5" s="158">
        <f>C5/$C$9</f>
        <v>0.02743118392227831</v>
      </c>
      <c r="C5" s="81">
        <v>201.6</v>
      </c>
      <c r="E5" s="9" t="s">
        <v>275</v>
      </c>
      <c r="F5" s="81">
        <v>230000</v>
      </c>
      <c r="G5" s="199">
        <v>1500</v>
      </c>
      <c r="H5" s="81">
        <f>F5*G5</f>
        <v>345000000</v>
      </c>
      <c r="I5" s="200">
        <f>H5*16/2.5</f>
        <v>2208000000</v>
      </c>
      <c r="K5" s="102" t="s">
        <v>835</v>
      </c>
      <c r="L5" s="78">
        <v>16</v>
      </c>
    </row>
    <row r="6" spans="1:12" ht="12.75">
      <c r="A6" s="9" t="s">
        <v>262</v>
      </c>
      <c r="B6" s="158">
        <f>C6/$C$9</f>
        <v>0.0307648347461663</v>
      </c>
      <c r="C6" s="81">
        <v>226.1</v>
      </c>
      <c r="E6" s="9" t="s">
        <v>276</v>
      </c>
      <c r="F6" s="81">
        <v>60000</v>
      </c>
      <c r="G6" s="199">
        <v>975</v>
      </c>
      <c r="H6" s="81">
        <f>F6*G6</f>
        <v>58500000</v>
      </c>
      <c r="I6" s="200">
        <f>H6*16/2.5</f>
        <v>374400000</v>
      </c>
      <c r="K6" s="102" t="s">
        <v>448</v>
      </c>
      <c r="L6" s="78">
        <v>12</v>
      </c>
    </row>
    <row r="7" spans="1:12" ht="12.75">
      <c r="A7" s="9" t="s">
        <v>264</v>
      </c>
      <c r="B7" s="158">
        <f>C7/$C$9</f>
        <v>0.09404977344781136</v>
      </c>
      <c r="C7" s="81">
        <v>691.2</v>
      </c>
      <c r="E7" s="103" t="s">
        <v>169</v>
      </c>
      <c r="F7" s="81" t="s">
        <v>13</v>
      </c>
      <c r="G7" s="78" t="s">
        <v>13</v>
      </c>
      <c r="H7" s="81">
        <f>SUM(H4:H6)</f>
        <v>823500000</v>
      </c>
      <c r="I7" s="280">
        <f>SUM(I4:I6)</f>
        <v>5270400000</v>
      </c>
      <c r="K7" s="102" t="s">
        <v>449</v>
      </c>
      <c r="L7" s="78">
        <v>12</v>
      </c>
    </row>
    <row r="8" spans="1:12" ht="12.75">
      <c r="A8" s="9" t="s">
        <v>263</v>
      </c>
      <c r="B8" s="158">
        <f>C8/$C$9</f>
        <v>0.13062468534418242</v>
      </c>
      <c r="C8" s="81">
        <v>960</v>
      </c>
      <c r="G8">
        <f>SUM(G4:G7)</f>
        <v>3675</v>
      </c>
      <c r="K8" s="102" t="s">
        <v>450</v>
      </c>
      <c r="L8" s="78">
        <v>16</v>
      </c>
    </row>
    <row r="9" spans="1:3" ht="12.75">
      <c r="A9" s="9" t="s">
        <v>169</v>
      </c>
      <c r="B9" s="141">
        <f>SUM(B4:B8)</f>
        <v>1</v>
      </c>
      <c r="C9" s="81">
        <f>SUM(C4:C8)</f>
        <v>7349.3</v>
      </c>
    </row>
    <row r="10" spans="1:2" ht="12.75">
      <c r="A10" s="145"/>
      <c r="B10" s="86"/>
    </row>
    <row r="11" ht="12.75">
      <c r="A11" s="267" t="s">
        <v>584</v>
      </c>
    </row>
    <row r="12" spans="1:8" ht="38.25">
      <c r="A12" s="99" t="s">
        <v>577</v>
      </c>
      <c r="B12" s="75" t="s">
        <v>290</v>
      </c>
      <c r="C12" s="75" t="s">
        <v>281</v>
      </c>
      <c r="E12" s="99" t="s">
        <v>282</v>
      </c>
      <c r="F12" s="75" t="s">
        <v>281</v>
      </c>
      <c r="G12" s="75" t="s">
        <v>286</v>
      </c>
      <c r="H12" s="101" t="s">
        <v>228</v>
      </c>
    </row>
    <row r="13" spans="1:8" ht="12.75">
      <c r="A13" s="9" t="s">
        <v>265</v>
      </c>
      <c r="B13" s="109">
        <v>0.32</v>
      </c>
      <c r="C13" s="280">
        <f aca="true" t="shared" si="0" ref="C13:C24">$C$25*B13</f>
        <v>1856</v>
      </c>
      <c r="E13" s="445" t="s">
        <v>280</v>
      </c>
      <c r="F13" s="446">
        <f>SUM(C13:C15)</f>
        <v>2378</v>
      </c>
      <c r="G13" s="102" t="s">
        <v>278</v>
      </c>
      <c r="H13" s="81">
        <v>551893</v>
      </c>
    </row>
    <row r="14" spans="1:8" ht="12.75">
      <c r="A14" s="9" t="s">
        <v>275</v>
      </c>
      <c r="B14" s="109">
        <v>0.08</v>
      </c>
      <c r="C14" s="280">
        <f t="shared" si="0"/>
        <v>464</v>
      </c>
      <c r="E14" s="445"/>
      <c r="F14" s="446"/>
      <c r="G14" s="102" t="s">
        <v>279</v>
      </c>
      <c r="H14" s="81">
        <v>338257</v>
      </c>
    </row>
    <row r="15" spans="1:8" ht="12.75">
      <c r="A15" s="9" t="s">
        <v>276</v>
      </c>
      <c r="B15" s="109">
        <v>0.01</v>
      </c>
      <c r="C15" s="280">
        <f t="shared" si="0"/>
        <v>58</v>
      </c>
      <c r="E15" s="445"/>
      <c r="F15" s="446"/>
      <c r="G15" s="102" t="s">
        <v>274</v>
      </c>
      <c r="H15" s="81">
        <v>46850</v>
      </c>
    </row>
    <row r="16" spans="1:8" ht="12.75">
      <c r="A16" s="110" t="s">
        <v>266</v>
      </c>
      <c r="B16" s="109">
        <v>0.09</v>
      </c>
      <c r="C16" s="81">
        <f t="shared" si="0"/>
        <v>522</v>
      </c>
      <c r="G16" s="102" t="s">
        <v>169</v>
      </c>
      <c r="H16" s="81">
        <f>SUM(H13:H15)</f>
        <v>937000</v>
      </c>
    </row>
    <row r="17" spans="1:5" ht="12.75">
      <c r="A17" s="110" t="s">
        <v>277</v>
      </c>
      <c r="B17" s="109">
        <v>0.02</v>
      </c>
      <c r="C17" s="81">
        <f t="shared" si="0"/>
        <v>116</v>
      </c>
      <c r="E17" s="1" t="s">
        <v>582</v>
      </c>
    </row>
    <row r="18" spans="1:8" ht="12.75">
      <c r="A18" s="9" t="s">
        <v>267</v>
      </c>
      <c r="B18" s="109">
        <v>0.03</v>
      </c>
      <c r="C18" s="81">
        <f t="shared" si="0"/>
        <v>174</v>
      </c>
      <c r="E18" s="103" t="s">
        <v>285</v>
      </c>
      <c r="F18" s="101" t="s">
        <v>228</v>
      </c>
      <c r="G18" s="101" t="s">
        <v>283</v>
      </c>
      <c r="H18" s="75" t="s">
        <v>228</v>
      </c>
    </row>
    <row r="19" spans="1:8" ht="12.75">
      <c r="A19" s="9" t="s">
        <v>268</v>
      </c>
      <c r="B19" s="109">
        <v>0.09</v>
      </c>
      <c r="C19" s="81">
        <f t="shared" si="0"/>
        <v>522</v>
      </c>
      <c r="E19" s="9" t="s">
        <v>265</v>
      </c>
      <c r="F19" s="81">
        <v>937000</v>
      </c>
      <c r="G19" s="199">
        <v>1200</v>
      </c>
      <c r="H19" s="200">
        <f>F19*G19</f>
        <v>1124400000</v>
      </c>
    </row>
    <row r="20" spans="1:8" ht="12.75">
      <c r="A20" s="9" t="s">
        <v>269</v>
      </c>
      <c r="B20" s="109">
        <v>0.02</v>
      </c>
      <c r="C20" s="81">
        <f t="shared" si="0"/>
        <v>116</v>
      </c>
      <c r="E20" s="9" t="s">
        <v>275</v>
      </c>
      <c r="F20" s="81">
        <v>615742.8571428572</v>
      </c>
      <c r="G20" s="199">
        <v>1500</v>
      </c>
      <c r="H20" s="200">
        <f>F20*G20</f>
        <v>923614285.7142857</v>
      </c>
    </row>
    <row r="21" spans="1:8" ht="12.75">
      <c r="A21" s="9" t="s">
        <v>270</v>
      </c>
      <c r="B21" s="109">
        <v>0.06</v>
      </c>
      <c r="C21" s="81">
        <f t="shared" si="0"/>
        <v>348</v>
      </c>
      <c r="E21" s="9" t="s">
        <v>276</v>
      </c>
      <c r="F21" s="81">
        <v>160628.57142857142</v>
      </c>
      <c r="G21" s="199">
        <v>975</v>
      </c>
      <c r="H21" s="200">
        <f>F21*G21</f>
        <v>156612857.14285713</v>
      </c>
    </row>
    <row r="22" spans="1:8" ht="12.75">
      <c r="A22" s="110" t="s">
        <v>271</v>
      </c>
      <c r="B22" s="109">
        <v>0.06</v>
      </c>
      <c r="C22" s="81">
        <f t="shared" si="0"/>
        <v>348</v>
      </c>
      <c r="E22" s="103" t="s">
        <v>169</v>
      </c>
      <c r="F22" s="81">
        <v>1713371.4285714286</v>
      </c>
      <c r="G22" s="78" t="s">
        <v>13</v>
      </c>
      <c r="H22" s="280">
        <f>SUM(H19:H21)</f>
        <v>2204627142.857143</v>
      </c>
    </row>
    <row r="23" spans="1:3" ht="12.75">
      <c r="A23" s="110" t="s">
        <v>272</v>
      </c>
      <c r="B23" s="109">
        <v>0.13</v>
      </c>
      <c r="C23" s="81">
        <f t="shared" si="0"/>
        <v>754</v>
      </c>
    </row>
    <row r="24" spans="1:3" ht="12.75">
      <c r="A24" s="9" t="s">
        <v>273</v>
      </c>
      <c r="B24" s="109">
        <v>0.09</v>
      </c>
      <c r="C24" s="81">
        <f t="shared" si="0"/>
        <v>522</v>
      </c>
    </row>
    <row r="25" spans="1:3" ht="12.75">
      <c r="A25" s="106" t="s">
        <v>289</v>
      </c>
      <c r="B25" s="107">
        <f>SUM(B13:B24)</f>
        <v>1</v>
      </c>
      <c r="C25" s="108">
        <v>5800</v>
      </c>
    </row>
    <row r="26" spans="1:11" ht="12.75">
      <c r="A26" s="104" t="s">
        <v>145</v>
      </c>
      <c r="B26" s="9"/>
      <c r="C26" s="9"/>
      <c r="K26" s="2"/>
    </row>
    <row r="27" spans="1:3" ht="12.75">
      <c r="A27" s="105" t="s">
        <v>146</v>
      </c>
      <c r="B27" s="9"/>
      <c r="C27" s="9"/>
    </row>
    <row r="28" spans="1:3" ht="12.75">
      <c r="A28" s="105" t="s">
        <v>129</v>
      </c>
      <c r="B28" s="9"/>
      <c r="C28" s="9"/>
    </row>
    <row r="29" spans="1:3" ht="12.75">
      <c r="A29" s="105" t="s">
        <v>130</v>
      </c>
      <c r="B29" s="9"/>
      <c r="C29" s="9"/>
    </row>
    <row r="30" spans="1:3" ht="12.75">
      <c r="A30" s="105" t="s">
        <v>138</v>
      </c>
      <c r="B30" s="9"/>
      <c r="C30" s="9"/>
    </row>
    <row r="31" spans="1:3" ht="12.75">
      <c r="A31" s="105" t="s">
        <v>148</v>
      </c>
      <c r="B31" s="9"/>
      <c r="C31" s="9"/>
    </row>
    <row r="32" spans="1:3" ht="12.75">
      <c r="A32" s="105" t="s">
        <v>128</v>
      </c>
      <c r="B32" s="9"/>
      <c r="C32" s="9"/>
    </row>
    <row r="33" spans="1:3" ht="12.75">
      <c r="A33" s="105" t="s">
        <v>149</v>
      </c>
      <c r="B33" s="9"/>
      <c r="C33" s="9"/>
    </row>
    <row r="34" spans="1:3" ht="12.75">
      <c r="A34" s="106" t="s">
        <v>288</v>
      </c>
      <c r="B34" s="9"/>
      <c r="C34" s="108">
        <v>2680</v>
      </c>
    </row>
    <row r="35" spans="1:3" ht="12.75">
      <c r="A35" s="103" t="s">
        <v>287</v>
      </c>
      <c r="B35" s="9"/>
      <c r="C35" s="108">
        <f>C25+C34</f>
        <v>8480</v>
      </c>
    </row>
    <row r="37" spans="1:6" ht="12.75">
      <c r="A37" s="267" t="s">
        <v>585</v>
      </c>
      <c r="E37" s="101" t="s">
        <v>581</v>
      </c>
      <c r="F37" s="101" t="s">
        <v>309</v>
      </c>
    </row>
    <row r="38" spans="1:6" ht="12.75">
      <c r="A38" s="103" t="s">
        <v>285</v>
      </c>
      <c r="B38" s="101" t="s">
        <v>228</v>
      </c>
      <c r="C38" s="101" t="s">
        <v>283</v>
      </c>
      <c r="E38" s="75" t="s">
        <v>228</v>
      </c>
      <c r="F38" s="75" t="s">
        <v>228</v>
      </c>
    </row>
    <row r="39" spans="1:6" ht="12.75">
      <c r="A39" s="9" t="s">
        <v>265</v>
      </c>
      <c r="B39" s="81">
        <v>1543972</v>
      </c>
      <c r="C39" s="199">
        <v>1200</v>
      </c>
      <c r="E39" s="81">
        <f>C39*B39</f>
        <v>1852766400</v>
      </c>
      <c r="F39" s="81">
        <v>2688000000</v>
      </c>
    </row>
    <row r="40" spans="1:6" ht="12.75">
      <c r="A40" s="9" t="s">
        <v>275</v>
      </c>
      <c r="B40" s="81">
        <v>1014610</v>
      </c>
      <c r="C40" s="199">
        <v>1500</v>
      </c>
      <c r="E40" s="81">
        <f>C40*B40</f>
        <v>1521915000</v>
      </c>
      <c r="F40" s="81">
        <v>2208000000</v>
      </c>
    </row>
    <row r="41" spans="1:6" ht="12.75">
      <c r="A41" s="9" t="s">
        <v>276</v>
      </c>
      <c r="B41" s="81">
        <f>B63*B60</f>
        <v>381118.4</v>
      </c>
      <c r="C41" s="199">
        <v>975</v>
      </c>
      <c r="E41" s="81">
        <f>C41*B41</f>
        <v>371590440</v>
      </c>
      <c r="F41" s="81">
        <v>374400000</v>
      </c>
    </row>
    <row r="42" spans="1:6" ht="12.75">
      <c r="A42" s="103" t="s">
        <v>169</v>
      </c>
      <c r="B42" s="81"/>
      <c r="C42" s="78" t="s">
        <v>13</v>
      </c>
      <c r="E42" s="280">
        <f>SUM(E39:E41)</f>
        <v>3746271840</v>
      </c>
      <c r="F42" s="81">
        <f>SUM(F39:F41)</f>
        <v>5270400000</v>
      </c>
    </row>
    <row r="46" spans="1:2" ht="12.75">
      <c r="A46" s="1" t="s">
        <v>590</v>
      </c>
      <c r="B46" s="282"/>
    </row>
    <row r="47" spans="1:3" ht="12.75">
      <c r="A47" s="284" t="s">
        <v>588</v>
      </c>
      <c r="B47" s="285" t="s">
        <v>586</v>
      </c>
      <c r="C47" s="101" t="s">
        <v>587</v>
      </c>
    </row>
    <row r="48" spans="1:3" ht="12.75">
      <c r="A48" s="283">
        <v>38777</v>
      </c>
      <c r="B48" s="81">
        <v>55047</v>
      </c>
      <c r="C48" s="81">
        <v>6693</v>
      </c>
    </row>
    <row r="49" spans="1:3" ht="12.75">
      <c r="A49" s="283">
        <v>38808</v>
      </c>
      <c r="B49" s="81">
        <v>45147</v>
      </c>
      <c r="C49" s="81">
        <v>5605</v>
      </c>
    </row>
    <row r="50" spans="1:3" ht="12.75">
      <c r="A50" s="283">
        <v>38838</v>
      </c>
      <c r="B50" s="81">
        <v>46242</v>
      </c>
      <c r="C50" s="81">
        <v>5855</v>
      </c>
    </row>
    <row r="51" spans="1:3" ht="12.75">
      <c r="A51" s="283">
        <v>38869</v>
      </c>
      <c r="B51" s="81">
        <v>45323</v>
      </c>
      <c r="C51" s="81">
        <v>5005</v>
      </c>
    </row>
    <row r="52" spans="1:3" ht="12.75">
      <c r="A52" s="283">
        <v>38899</v>
      </c>
      <c r="B52" s="81">
        <v>43401</v>
      </c>
      <c r="C52" s="81">
        <v>5525</v>
      </c>
    </row>
    <row r="53" spans="1:3" ht="12.75">
      <c r="A53" s="283">
        <v>38930</v>
      </c>
      <c r="B53" s="81">
        <v>46182</v>
      </c>
      <c r="C53" s="81">
        <v>5187</v>
      </c>
    </row>
    <row r="54" spans="1:3" ht="12.75">
      <c r="A54" s="283">
        <v>38961</v>
      </c>
      <c r="B54" s="81">
        <v>45814</v>
      </c>
      <c r="C54" s="81">
        <v>5085</v>
      </c>
    </row>
    <row r="55" spans="1:3" ht="12.75">
      <c r="A55" s="283">
        <v>38991</v>
      </c>
      <c r="B55" s="81">
        <v>48487</v>
      </c>
      <c r="C55" s="81">
        <v>5360</v>
      </c>
    </row>
    <row r="56" spans="1:3" ht="12.75">
      <c r="A56" s="283">
        <v>39022</v>
      </c>
      <c r="B56" s="81">
        <v>49405</v>
      </c>
      <c r="C56" s="81">
        <v>5435</v>
      </c>
    </row>
    <row r="57" spans="1:3" ht="12.75">
      <c r="A57" s="283">
        <v>39052</v>
      </c>
      <c r="B57" s="81">
        <v>52537</v>
      </c>
      <c r="C57" s="81">
        <v>5607</v>
      </c>
    </row>
    <row r="58" spans="1:3" ht="12.75">
      <c r="A58" s="283">
        <v>39083</v>
      </c>
      <c r="B58" s="81">
        <v>56100</v>
      </c>
      <c r="C58" s="81">
        <v>6197</v>
      </c>
    </row>
    <row r="59" spans="1:3" ht="12.75">
      <c r="A59" s="283">
        <v>39114</v>
      </c>
      <c r="B59" s="81">
        <v>52651</v>
      </c>
      <c r="C59" s="81">
        <v>5775</v>
      </c>
    </row>
    <row r="60" spans="1:4" ht="12.75">
      <c r="A60" s="9"/>
      <c r="B60" s="81">
        <f>SUM(B48:B59)</f>
        <v>586336</v>
      </c>
      <c r="C60" s="286">
        <f>SUM(C48:C59)</f>
        <v>67329</v>
      </c>
      <c r="D60" s="364">
        <f>C60/B60</f>
        <v>0.1148300633084102</v>
      </c>
    </row>
    <row r="61" ht="12.75">
      <c r="B61" s="282"/>
    </row>
    <row r="62" spans="1:2" ht="12.75">
      <c r="A62" t="s">
        <v>589</v>
      </c>
      <c r="B62" s="282"/>
    </row>
    <row r="63" spans="1:2" ht="12.75">
      <c r="A63" s="273" t="s">
        <v>591</v>
      </c>
      <c r="B63" s="23">
        <v>0.65</v>
      </c>
    </row>
  </sheetData>
  <sheetProtection/>
  <mergeCells count="2">
    <mergeCell ref="E13:E15"/>
    <mergeCell ref="F13:F15"/>
  </mergeCells>
  <printOptions/>
  <pageMargins left="0.75" right="0.75" top="1" bottom="1" header="0.5" footer="0.5"/>
  <pageSetup horizontalDpi="200" verticalDpi="2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A1:Z34"/>
  <sheetViews>
    <sheetView zoomScalePageLayoutView="0" workbookViewId="0" topLeftCell="A1">
      <selection activeCell="B4" sqref="B4"/>
    </sheetView>
  </sheetViews>
  <sheetFormatPr defaultColWidth="9.140625" defaultRowHeight="12.75" outlineLevelCol="1"/>
  <cols>
    <col min="1" max="1" width="29.7109375" style="0" customWidth="1"/>
    <col min="2" max="2" width="12.7109375" style="0" bestFit="1" customWidth="1"/>
    <col min="3" max="3" width="12.00390625" style="0" bestFit="1" customWidth="1"/>
    <col min="4" max="4" width="11.7109375" style="0" customWidth="1"/>
    <col min="5" max="8" width="11.7109375" style="0" hidden="1" customWidth="1" outlineLevel="1"/>
    <col min="9" max="9" width="11.7109375" style="0" customWidth="1" collapsed="1"/>
    <col min="10" max="10" width="15.28125" style="0" bestFit="1" customWidth="1"/>
    <col min="11" max="11" width="15.28125" style="0" customWidth="1"/>
    <col min="12" max="13" width="16.421875" style="0" hidden="1" customWidth="1" outlineLevel="1"/>
    <col min="14" max="14" width="16.421875" style="0" bestFit="1" customWidth="1" collapsed="1"/>
    <col min="15" max="15" width="13.8515625" style="0" bestFit="1" customWidth="1"/>
    <col min="16" max="16" width="11.7109375" style="0" customWidth="1"/>
    <col min="17" max="17" width="13.140625" style="0" customWidth="1"/>
    <col min="18" max="18" width="12.421875" style="0" customWidth="1"/>
    <col min="19" max="19" width="15.28125" style="0" customWidth="1"/>
    <col min="20" max="20" width="11.7109375" style="0" customWidth="1"/>
    <col min="21" max="22" width="13.421875" style="0" customWidth="1"/>
    <col min="23" max="24" width="16.8515625" style="0" customWidth="1"/>
    <col min="25" max="25" width="9.8515625" style="0" bestFit="1" customWidth="1"/>
    <col min="26" max="26" width="11.140625" style="0" bestFit="1" customWidth="1"/>
  </cols>
  <sheetData>
    <row r="1" spans="1:24" ht="15.75">
      <c r="A1" s="97" t="s">
        <v>124</v>
      </c>
      <c r="O1" s="450" t="s">
        <v>515</v>
      </c>
      <c r="P1" s="450"/>
      <c r="Q1" s="448" t="s">
        <v>516</v>
      </c>
      <c r="R1" s="449"/>
      <c r="S1" s="448" t="s">
        <v>517</v>
      </c>
      <c r="T1" s="449"/>
      <c r="U1" s="448" t="s">
        <v>105</v>
      </c>
      <c r="V1" s="449"/>
      <c r="W1" s="448" t="s">
        <v>568</v>
      </c>
      <c r="X1" s="449"/>
    </row>
    <row r="2" spans="1:26" ht="25.5">
      <c r="A2" s="215" t="s">
        <v>502</v>
      </c>
      <c r="B2" s="215" t="s">
        <v>503</v>
      </c>
      <c r="C2" s="215" t="s">
        <v>504</v>
      </c>
      <c r="D2" s="215" t="s">
        <v>505</v>
      </c>
      <c r="E2" s="215" t="s">
        <v>506</v>
      </c>
      <c r="F2" s="215" t="s">
        <v>507</v>
      </c>
      <c r="G2" s="215" t="s">
        <v>173</v>
      </c>
      <c r="H2" s="215" t="s">
        <v>508</v>
      </c>
      <c r="I2" s="215" t="s">
        <v>509</v>
      </c>
      <c r="J2" s="215" t="s">
        <v>510</v>
      </c>
      <c r="K2" s="215" t="s">
        <v>511</v>
      </c>
      <c r="L2" s="215" t="s">
        <v>512</v>
      </c>
      <c r="M2" s="215" t="s">
        <v>513</v>
      </c>
      <c r="N2" s="215" t="s">
        <v>514</v>
      </c>
      <c r="O2" s="215" t="s">
        <v>593</v>
      </c>
      <c r="P2" s="215" t="s">
        <v>281</v>
      </c>
      <c r="Q2" s="215" t="s">
        <v>593</v>
      </c>
      <c r="R2" s="215" t="s">
        <v>281</v>
      </c>
      <c r="S2" s="215" t="s">
        <v>593</v>
      </c>
      <c r="T2" s="215" t="s">
        <v>281</v>
      </c>
      <c r="U2" s="215" t="s">
        <v>593</v>
      </c>
      <c r="V2" s="215" t="s">
        <v>281</v>
      </c>
      <c r="W2" s="215" t="s">
        <v>593</v>
      </c>
      <c r="X2" s="215" t="s">
        <v>281</v>
      </c>
      <c r="Y2" s="215" t="s">
        <v>169</v>
      </c>
      <c r="Z2" s="215" t="s">
        <v>281</v>
      </c>
    </row>
    <row r="3" spans="1:26" ht="12.75" hidden="1">
      <c r="A3" s="242" t="s">
        <v>518</v>
      </c>
      <c r="B3" s="243" t="s">
        <v>519</v>
      </c>
      <c r="C3" s="215" t="s">
        <v>13</v>
      </c>
      <c r="D3" s="215" t="s">
        <v>13</v>
      </c>
      <c r="E3" s="215" t="s">
        <v>13</v>
      </c>
      <c r="F3" s="215" t="s">
        <v>13</v>
      </c>
      <c r="G3" s="215" t="s">
        <v>13</v>
      </c>
      <c r="H3" s="215" t="s">
        <v>13</v>
      </c>
      <c r="I3" s="244">
        <v>1000</v>
      </c>
      <c r="J3" s="245" t="s">
        <v>520</v>
      </c>
      <c r="K3" s="246" t="s">
        <v>521</v>
      </c>
      <c r="L3" s="451">
        <v>30269</v>
      </c>
      <c r="M3" s="451">
        <f>L3*B18</f>
        <v>181614</v>
      </c>
      <c r="N3" s="78" t="s">
        <v>522</v>
      </c>
      <c r="O3" s="215" t="s">
        <v>176</v>
      </c>
      <c r="P3" s="215" t="s">
        <v>13</v>
      </c>
      <c r="Q3" s="215" t="s">
        <v>13</v>
      </c>
      <c r="R3" s="215" t="s">
        <v>13</v>
      </c>
      <c r="S3" s="215" t="s">
        <v>13</v>
      </c>
      <c r="T3" s="215" t="s">
        <v>13</v>
      </c>
      <c r="U3" s="215" t="s">
        <v>13</v>
      </c>
      <c r="V3" s="215" t="s">
        <v>13</v>
      </c>
      <c r="W3" s="215" t="s">
        <v>176</v>
      </c>
      <c r="X3" s="215" t="s">
        <v>13</v>
      </c>
      <c r="Y3" s="247">
        <f>M3-Y4</f>
        <v>169134</v>
      </c>
      <c r="Z3" s="248">
        <f aca="true" t="shared" si="0" ref="Z3:Z8">I3*Y3*16*365/2.5/1000</f>
        <v>395097024</v>
      </c>
    </row>
    <row r="4" spans="1:26" ht="12.75" customHeight="1">
      <c r="A4" s="249" t="s">
        <v>523</v>
      </c>
      <c r="B4" s="249" t="s">
        <v>524</v>
      </c>
      <c r="C4" s="78">
        <v>0</v>
      </c>
      <c r="D4" s="78">
        <f>3*3*2.4</f>
        <v>21.599999999999998</v>
      </c>
      <c r="E4" s="78">
        <v>0</v>
      </c>
      <c r="F4" s="78">
        <v>9</v>
      </c>
      <c r="G4" s="78">
        <v>9</v>
      </c>
      <c r="H4" s="78">
        <v>250</v>
      </c>
      <c r="I4" s="246">
        <f>G4*H4</f>
        <v>2250</v>
      </c>
      <c r="J4" s="246" t="s">
        <v>525</v>
      </c>
      <c r="K4" s="246" t="s">
        <v>521</v>
      </c>
      <c r="L4" s="453"/>
      <c r="M4" s="453"/>
      <c r="N4" s="78" t="s">
        <v>522</v>
      </c>
      <c r="O4" s="248">
        <v>3744</v>
      </c>
      <c r="P4" s="248">
        <f>$I$4*O4*16*365/2.5/1000</f>
        <v>19678464</v>
      </c>
      <c r="Q4" s="248">
        <v>3120</v>
      </c>
      <c r="R4" s="248">
        <f>I4*Q4*16*365/2.5/1000</f>
        <v>16398720</v>
      </c>
      <c r="S4" s="248">
        <v>4368</v>
      </c>
      <c r="T4" s="248">
        <f>I4*S4*16*365/2.5/1000</f>
        <v>22958208</v>
      </c>
      <c r="U4" s="246">
        <v>0</v>
      </c>
      <c r="V4" s="276">
        <f>G4*U4*16*365/2.5/1000</f>
        <v>0</v>
      </c>
      <c r="W4" s="246">
        <v>1248</v>
      </c>
      <c r="X4" s="276">
        <f>I4*W4*16*365/2.5/1000</f>
        <v>6559488</v>
      </c>
      <c r="Y4" s="246">
        <v>12480</v>
      </c>
      <c r="Z4" s="276">
        <f t="shared" si="0"/>
        <v>65594880</v>
      </c>
    </row>
    <row r="5" spans="1:26" ht="12.75" customHeight="1">
      <c r="A5" s="249" t="s">
        <v>526</v>
      </c>
      <c r="B5" s="249" t="s">
        <v>524</v>
      </c>
      <c r="C5" s="78">
        <v>22</v>
      </c>
      <c r="D5" s="78">
        <f>6*4*3</f>
        <v>72</v>
      </c>
      <c r="E5" s="78">
        <v>9</v>
      </c>
      <c r="F5" s="78">
        <v>24</v>
      </c>
      <c r="G5" s="78">
        <f>(E5+F5)/2</f>
        <v>16.5</v>
      </c>
      <c r="H5" s="78">
        <v>250</v>
      </c>
      <c r="I5" s="246">
        <f>G5*H5</f>
        <v>4125</v>
      </c>
      <c r="J5" s="246" t="s">
        <v>527</v>
      </c>
      <c r="K5" s="246" t="s">
        <v>528</v>
      </c>
      <c r="L5" s="451">
        <v>5134</v>
      </c>
      <c r="M5" s="451">
        <f>L5*B19</f>
        <v>41072</v>
      </c>
      <c r="N5" s="78" t="s">
        <v>529</v>
      </c>
      <c r="O5" s="248">
        <v>3136</v>
      </c>
      <c r="P5" s="248">
        <f>I5*O5*16*365/2.5/1000</f>
        <v>30218496</v>
      </c>
      <c r="Q5" s="248">
        <v>1344</v>
      </c>
      <c r="R5" s="248">
        <f>I5*Q5*16*365/2.5/1000</f>
        <v>12950784</v>
      </c>
      <c r="S5" s="248">
        <v>2240</v>
      </c>
      <c r="T5" s="248">
        <f>I5*S5*16*365/2.5/1000</f>
        <v>21584640</v>
      </c>
      <c r="U5" s="246">
        <v>1344</v>
      </c>
      <c r="V5" s="276">
        <f>G5*U5*16*365/2.5/1000</f>
        <v>51803.136</v>
      </c>
      <c r="W5" s="246">
        <v>896</v>
      </c>
      <c r="X5" s="276">
        <f>I5*W5*16*365/2.5/1000</f>
        <v>8633856</v>
      </c>
      <c r="Y5" s="246">
        <v>8960</v>
      </c>
      <c r="Z5" s="276">
        <f t="shared" si="0"/>
        <v>86338560</v>
      </c>
    </row>
    <row r="6" spans="1:26" ht="12.75" customHeight="1">
      <c r="A6" s="249" t="s">
        <v>530</v>
      </c>
      <c r="B6" s="249" t="s">
        <v>524</v>
      </c>
      <c r="C6" s="78">
        <v>73</v>
      </c>
      <c r="D6" s="78">
        <f>6*6*4</f>
        <v>144</v>
      </c>
      <c r="E6" s="78">
        <v>24</v>
      </c>
      <c r="F6" s="78">
        <v>36</v>
      </c>
      <c r="G6" s="78">
        <f>(E6+F6)/2</f>
        <v>30</v>
      </c>
      <c r="H6" s="78">
        <v>300</v>
      </c>
      <c r="I6" s="246">
        <f>G6*H6</f>
        <v>9000</v>
      </c>
      <c r="J6" s="246" t="s">
        <v>531</v>
      </c>
      <c r="K6" s="246" t="s">
        <v>528</v>
      </c>
      <c r="L6" s="452"/>
      <c r="M6" s="452"/>
      <c r="N6" s="78" t="s">
        <v>529</v>
      </c>
      <c r="O6" s="248">
        <v>960</v>
      </c>
      <c r="P6" s="248">
        <f>I6*O6*16*365/2.5/1000</f>
        <v>20183040</v>
      </c>
      <c r="Q6" s="248">
        <v>480</v>
      </c>
      <c r="R6" s="248">
        <f>I6*Q6*16*365/2.5/1000</f>
        <v>10091520</v>
      </c>
      <c r="S6" s="248">
        <v>1440</v>
      </c>
      <c r="T6" s="248">
        <f>I6*S6*16*365/2.5/1000</f>
        <v>30274560</v>
      </c>
      <c r="U6" s="246">
        <v>1440</v>
      </c>
      <c r="V6" s="276">
        <f>G6*U6*16*365/2.5/1000</f>
        <v>100915.2</v>
      </c>
      <c r="W6" s="246">
        <v>480</v>
      </c>
      <c r="X6" s="276">
        <f>I6*W6*16*365/2.5/1000</f>
        <v>10091520</v>
      </c>
      <c r="Y6" s="246">
        <v>4800</v>
      </c>
      <c r="Z6" s="276">
        <f t="shared" si="0"/>
        <v>100915200</v>
      </c>
    </row>
    <row r="7" spans="1:26" ht="12.75" customHeight="1">
      <c r="A7" s="249" t="s">
        <v>532</v>
      </c>
      <c r="B7" s="249" t="s">
        <v>524</v>
      </c>
      <c r="C7" s="78">
        <v>145</v>
      </c>
      <c r="D7" s="78">
        <f>10*10*4</f>
        <v>400</v>
      </c>
      <c r="E7" s="78">
        <v>36</v>
      </c>
      <c r="F7" s="78">
        <v>100</v>
      </c>
      <c r="G7" s="78">
        <f>(E7+F7)/2</f>
        <v>68</v>
      </c>
      <c r="H7" s="78">
        <v>300</v>
      </c>
      <c r="I7" s="246">
        <f>G7*H7</f>
        <v>20400</v>
      </c>
      <c r="J7" s="246" t="s">
        <v>533</v>
      </c>
      <c r="K7" s="246" t="s">
        <v>528</v>
      </c>
      <c r="L7" s="452"/>
      <c r="M7" s="452"/>
      <c r="N7" s="78" t="s">
        <v>529</v>
      </c>
      <c r="O7" s="248">
        <v>800</v>
      </c>
      <c r="P7" s="248">
        <f>I7*O7*16*365/2.5/1000</f>
        <v>38123520</v>
      </c>
      <c r="Q7" s="248">
        <v>160</v>
      </c>
      <c r="R7" s="248">
        <f>I7*Q7*16*365/2.5/1000</f>
        <v>7624704</v>
      </c>
      <c r="S7" s="248">
        <v>320</v>
      </c>
      <c r="T7" s="248">
        <f>I7*S7*16*365/2.5/1000</f>
        <v>15249408</v>
      </c>
      <c r="U7" s="246">
        <v>1280</v>
      </c>
      <c r="V7" s="276">
        <f>G7*U7*16*365/2.5/1000</f>
        <v>203325.44</v>
      </c>
      <c r="W7" s="246">
        <v>640</v>
      </c>
      <c r="X7" s="276">
        <f>I7*W7*16*365/2.5/1000</f>
        <v>30498816</v>
      </c>
      <c r="Y7" s="246">
        <v>3200</v>
      </c>
      <c r="Z7" s="276">
        <f t="shared" si="0"/>
        <v>152494080</v>
      </c>
    </row>
    <row r="8" spans="1:26" ht="12.75" customHeight="1">
      <c r="A8" s="249" t="s">
        <v>534</v>
      </c>
      <c r="B8" s="249" t="s">
        <v>524</v>
      </c>
      <c r="C8" s="78">
        <v>401</v>
      </c>
      <c r="D8" s="78">
        <v>800</v>
      </c>
      <c r="E8" s="78">
        <v>100</v>
      </c>
      <c r="F8" s="78">
        <v>200</v>
      </c>
      <c r="G8" s="78">
        <f>(E8+F8)/2</f>
        <v>150</v>
      </c>
      <c r="H8" s="78">
        <v>300</v>
      </c>
      <c r="I8" s="246">
        <f>G8*H8</f>
        <v>45000</v>
      </c>
      <c r="J8" s="246" t="s">
        <v>535</v>
      </c>
      <c r="K8" s="246" t="s">
        <v>536</v>
      </c>
      <c r="L8" s="453"/>
      <c r="M8" s="453"/>
      <c r="N8" s="78" t="s">
        <v>529</v>
      </c>
      <c r="O8" s="248">
        <v>576</v>
      </c>
      <c r="P8" s="248">
        <f>I8*O8*16*365/2.5/1000</f>
        <v>60549120</v>
      </c>
      <c r="Q8" s="248">
        <v>0</v>
      </c>
      <c r="R8" s="248">
        <f>I8*Q8*16*365/2.5/1000</f>
        <v>0</v>
      </c>
      <c r="S8" s="248">
        <v>96</v>
      </c>
      <c r="T8" s="248">
        <f>I8*S8*16*365/2.5/1000</f>
        <v>10091520</v>
      </c>
      <c r="U8" s="246">
        <v>768</v>
      </c>
      <c r="V8" s="276">
        <f>G8*U8*16*365/2.5/1000</f>
        <v>269107.2</v>
      </c>
      <c r="W8" s="246">
        <v>480</v>
      </c>
      <c r="X8" s="276">
        <f>I8*W8*16*365/2.5/1000</f>
        <v>50457600</v>
      </c>
      <c r="Y8" s="246">
        <v>1920</v>
      </c>
      <c r="Z8" s="276">
        <f t="shared" si="0"/>
        <v>201830400</v>
      </c>
    </row>
    <row r="9" spans="1:26" ht="14.25" customHeight="1">
      <c r="A9" s="249" t="s">
        <v>537</v>
      </c>
      <c r="B9" s="249" t="s">
        <v>376</v>
      </c>
      <c r="C9" s="78">
        <v>801</v>
      </c>
      <c r="D9" s="78" t="s">
        <v>538</v>
      </c>
      <c r="E9" s="78" t="s">
        <v>13</v>
      </c>
      <c r="F9" s="78" t="s">
        <v>13</v>
      </c>
      <c r="G9" s="78" t="s">
        <v>13</v>
      </c>
      <c r="H9" s="78" t="s">
        <v>13</v>
      </c>
      <c r="I9" s="78" t="s">
        <v>13</v>
      </c>
      <c r="J9" s="78" t="s">
        <v>13</v>
      </c>
      <c r="K9" s="78" t="s">
        <v>539</v>
      </c>
      <c r="L9" s="81">
        <f>SUM(L3:L8)</f>
        <v>35403</v>
      </c>
      <c r="M9" s="81">
        <f>SUM(M3:M8)</f>
        <v>222686</v>
      </c>
      <c r="N9" s="78" t="s">
        <v>204</v>
      </c>
      <c r="O9" s="246">
        <v>64</v>
      </c>
      <c r="P9" s="278">
        <f>SUM(P4:P8)</f>
        <v>168752640</v>
      </c>
      <c r="Q9" s="246">
        <v>0</v>
      </c>
      <c r="R9" s="278">
        <f>SUM(R4:R8)</f>
        <v>47065728</v>
      </c>
      <c r="S9" s="246">
        <v>0</v>
      </c>
      <c r="T9" s="278">
        <f>SUM(T4:T8)</f>
        <v>100158336</v>
      </c>
      <c r="U9" s="246">
        <v>352</v>
      </c>
      <c r="V9" s="277">
        <f>SUM(V4:V8)</f>
        <v>625150.976</v>
      </c>
      <c r="W9" s="246">
        <v>224</v>
      </c>
      <c r="X9" s="277">
        <f>SUM(X4:X8)</f>
        <v>106241280</v>
      </c>
      <c r="Y9" s="246">
        <v>640</v>
      </c>
      <c r="Z9" s="279">
        <f>SUM(Z4:Z8)</f>
        <v>607173120</v>
      </c>
    </row>
    <row r="10" spans="1:26" ht="12.75">
      <c r="A10" s="9"/>
      <c r="B10" s="9"/>
      <c r="C10" s="9" t="s">
        <v>540</v>
      </c>
      <c r="D10" s="250" t="s">
        <v>540</v>
      </c>
      <c r="E10" s="250"/>
      <c r="F10" s="250"/>
      <c r="G10" s="250"/>
      <c r="H10" s="250"/>
      <c r="I10" s="250"/>
      <c r="J10" s="250"/>
      <c r="K10" s="250"/>
      <c r="L10" s="250"/>
      <c r="M10" s="250"/>
      <c r="N10" s="78" t="s">
        <v>13</v>
      </c>
      <c r="O10" s="251">
        <v>9280</v>
      </c>
      <c r="P10" s="251"/>
      <c r="Q10" s="251">
        <v>5104</v>
      </c>
      <c r="R10" s="251"/>
      <c r="S10" s="251">
        <v>8464</v>
      </c>
      <c r="T10" s="251"/>
      <c r="U10" s="251">
        <v>5184</v>
      </c>
      <c r="V10" s="251"/>
      <c r="W10" s="251">
        <v>3968</v>
      </c>
      <c r="X10" s="251"/>
      <c r="Y10" s="251">
        <v>32000</v>
      </c>
      <c r="Z10" s="252"/>
    </row>
    <row r="11" ht="12.75">
      <c r="Y11" s="279">
        <f>SUM(Y4:Y8)</f>
        <v>31360</v>
      </c>
    </row>
    <row r="12" spans="1:16" ht="12.75">
      <c r="A12" t="s">
        <v>232</v>
      </c>
      <c r="O12" s="274" t="s">
        <v>570</v>
      </c>
      <c r="P12" s="287">
        <f>(P9+R9+T9)/1000000</f>
        <v>315.976704</v>
      </c>
    </row>
    <row r="13" ht="12.75">
      <c r="A13" t="s">
        <v>541</v>
      </c>
    </row>
    <row r="14" ht="12.75">
      <c r="A14" t="s">
        <v>542</v>
      </c>
    </row>
    <row r="15" ht="12.75">
      <c r="A15" t="s">
        <v>543</v>
      </c>
    </row>
    <row r="16" ht="12.75">
      <c r="A16" t="s">
        <v>544</v>
      </c>
    </row>
    <row r="17" ht="12.75">
      <c r="A17" t="s">
        <v>545</v>
      </c>
    </row>
    <row r="18" spans="1:2" ht="12.75">
      <c r="A18" t="s">
        <v>103</v>
      </c>
      <c r="B18" s="2">
        <v>6</v>
      </c>
    </row>
    <row r="19" spans="1:2" ht="12.75">
      <c r="A19" t="s">
        <v>99</v>
      </c>
      <c r="B19" s="2">
        <v>8</v>
      </c>
    </row>
    <row r="20" spans="1:3" ht="12.75">
      <c r="A20" s="25" t="s">
        <v>102</v>
      </c>
      <c r="B20" s="2"/>
      <c r="C20" s="29"/>
    </row>
    <row r="21" spans="1:4" ht="12.75">
      <c r="A21" s="253" t="s">
        <v>103</v>
      </c>
      <c r="B21" s="247">
        <v>25350</v>
      </c>
      <c r="C21" s="83">
        <f>POWER(1.03,6)</f>
        <v>1.194052296529</v>
      </c>
      <c r="D21" s="246">
        <f>B21*C21</f>
        <v>30269.225717010147</v>
      </c>
    </row>
    <row r="22" spans="1:4" ht="12.75">
      <c r="A22" s="253" t="s">
        <v>99</v>
      </c>
      <c r="B22" s="247">
        <v>4300</v>
      </c>
      <c r="C22" s="83">
        <f>POWER(1.03,6)</f>
        <v>1.194052296529</v>
      </c>
      <c r="D22" s="246">
        <f>B22*C22</f>
        <v>5134.424875074699</v>
      </c>
    </row>
    <row r="25" ht="12.75">
      <c r="A25" s="1"/>
    </row>
    <row r="26" spans="1:3" ht="25.5">
      <c r="A26" s="99" t="s">
        <v>881</v>
      </c>
      <c r="B26" s="372" t="s">
        <v>228</v>
      </c>
      <c r="C26" s="93" t="s">
        <v>882</v>
      </c>
    </row>
    <row r="27" spans="1:3" ht="12.75">
      <c r="A27" s="9" t="s">
        <v>578</v>
      </c>
      <c r="B27" s="81">
        <v>15500</v>
      </c>
      <c r="C27" s="447">
        <f>(B27*0.8)+(B28*0.2)</f>
        <v>20860</v>
      </c>
    </row>
    <row r="28" spans="1:3" ht="12.75">
      <c r="A28" s="9" t="s">
        <v>579</v>
      </c>
      <c r="B28" s="81">
        <v>42300</v>
      </c>
      <c r="C28" s="447"/>
    </row>
    <row r="29" spans="1:3" ht="12.75">
      <c r="A29" s="145"/>
      <c r="B29" s="86"/>
      <c r="C29" s="252"/>
    </row>
    <row r="30" spans="1:2" ht="12.75">
      <c r="A30" s="1" t="s">
        <v>880</v>
      </c>
      <c r="B30" s="32"/>
    </row>
    <row r="31" spans="1:3" ht="12.75">
      <c r="A31" s="273" t="s">
        <v>885</v>
      </c>
      <c r="B31" s="31">
        <f>Z9</f>
        <v>607173120</v>
      </c>
      <c r="C31" s="31"/>
    </row>
    <row r="32" spans="1:2" ht="12.75">
      <c r="A32" s="273" t="s">
        <v>883</v>
      </c>
      <c r="B32" s="31">
        <f>Y11</f>
        <v>31360</v>
      </c>
    </row>
    <row r="33" spans="1:2" ht="12.75">
      <c r="A33" s="273" t="s">
        <v>886</v>
      </c>
      <c r="B33" s="31">
        <f>B31/B32</f>
        <v>19361.38775510204</v>
      </c>
    </row>
    <row r="34" ht="12.75">
      <c r="A34" s="43" t="s">
        <v>884</v>
      </c>
    </row>
  </sheetData>
  <sheetProtection/>
  <mergeCells count="10">
    <mergeCell ref="C27:C28"/>
    <mergeCell ref="W1:X1"/>
    <mergeCell ref="O1:P1"/>
    <mergeCell ref="Q1:R1"/>
    <mergeCell ref="S1:T1"/>
    <mergeCell ref="U1:V1"/>
    <mergeCell ref="L5:L8"/>
    <mergeCell ref="L3:L4"/>
    <mergeCell ref="M3:M4"/>
    <mergeCell ref="M5:M8"/>
  </mergeCells>
  <printOptions/>
  <pageMargins left="0.75" right="0.75" top="1" bottom="1" header="0.5" footer="0.5"/>
  <pageSetup horizontalDpi="300" verticalDpi="300" orientation="portrait" paperSize="9" r:id="rId4"/>
  <ignoredErrors>
    <ignoredError sqref="Y11" formulaRange="1"/>
  </ignoredErrors>
  <drawing r:id="rId3"/>
  <legacyDrawing r:id="rId2"/>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2.75"/>
  <sheetData>
    <row r="1" ht="15">
      <c r="A1" s="97" t="s">
        <v>601</v>
      </c>
    </row>
  </sheetData>
  <sheetProtection/>
  <printOptions/>
  <pageMargins left="0.75" right="0.75" top="1" bottom="1" header="0.5" footer="0.5"/>
  <pageSetup horizontalDpi="200" verticalDpi="200" orientation="portrait" r:id="rId2"/>
  <drawing r:id="rId1"/>
</worksheet>
</file>

<file path=xl/worksheets/sheet14.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cols>
    <col min="1" max="1" width="44.140625" style="0" customWidth="1"/>
    <col min="3" max="3" width="12.57421875" style="0" customWidth="1"/>
    <col min="6" max="9" width="0" style="0" hidden="1" customWidth="1"/>
    <col min="11" max="11" width="13.8515625" style="2" bestFit="1" customWidth="1"/>
  </cols>
  <sheetData>
    <row r="1" spans="1:11" ht="178.5">
      <c r="A1" s="4" t="s">
        <v>3</v>
      </c>
      <c r="B1" s="4" t="s">
        <v>7</v>
      </c>
      <c r="C1" s="4" t="s">
        <v>155</v>
      </c>
      <c r="D1" s="4" t="s">
        <v>4</v>
      </c>
      <c r="E1" s="4" t="s">
        <v>12</v>
      </c>
      <c r="F1" s="4" t="s">
        <v>5</v>
      </c>
      <c r="G1" s="4" t="s">
        <v>12</v>
      </c>
      <c r="H1" s="4" t="s">
        <v>6</v>
      </c>
      <c r="I1" s="4" t="s">
        <v>48</v>
      </c>
      <c r="J1" s="4" t="s">
        <v>47</v>
      </c>
      <c r="K1" s="4" t="s">
        <v>147</v>
      </c>
    </row>
    <row r="2" spans="1:11" ht="12.75">
      <c r="A2" s="47" t="s">
        <v>156</v>
      </c>
      <c r="B2" s="4"/>
      <c r="C2" s="4"/>
      <c r="D2" s="4"/>
      <c r="E2" s="4"/>
      <c r="F2" s="4"/>
      <c r="G2" s="4"/>
      <c r="H2" s="4"/>
      <c r="I2" s="4"/>
      <c r="J2" s="4"/>
      <c r="K2" s="4"/>
    </row>
    <row r="3" spans="1:11" ht="12.75">
      <c r="A3" s="34" t="s">
        <v>145</v>
      </c>
      <c r="B3" s="12">
        <v>2000</v>
      </c>
      <c r="C3" s="12"/>
      <c r="D3" s="12">
        <v>6000</v>
      </c>
      <c r="E3" s="44">
        <v>0.033</v>
      </c>
      <c r="F3" s="12"/>
      <c r="G3" s="11"/>
      <c r="H3" s="12"/>
      <c r="I3" s="12"/>
      <c r="J3" s="12">
        <v>6</v>
      </c>
      <c r="K3" s="2">
        <v>36000</v>
      </c>
    </row>
    <row r="4" spans="1:11" ht="12.75">
      <c r="A4" s="48" t="s">
        <v>146</v>
      </c>
      <c r="B4" s="12">
        <v>2000</v>
      </c>
      <c r="C4" s="50">
        <v>1899</v>
      </c>
      <c r="D4" s="2">
        <v>10000</v>
      </c>
      <c r="E4" s="11"/>
      <c r="F4" s="2"/>
      <c r="G4" s="11"/>
      <c r="H4" s="6"/>
      <c r="I4" s="2"/>
      <c r="J4" s="2">
        <v>8</v>
      </c>
      <c r="K4" s="2">
        <v>170000</v>
      </c>
    </row>
    <row r="5" spans="1:11" ht="12.75">
      <c r="A5" s="48" t="s">
        <v>129</v>
      </c>
      <c r="B5" s="12">
        <v>2000</v>
      </c>
      <c r="C5" s="2">
        <v>1899</v>
      </c>
      <c r="D5" s="2">
        <v>3500</v>
      </c>
      <c r="E5" s="2"/>
      <c r="F5" s="2"/>
      <c r="G5" s="2"/>
      <c r="H5" s="2"/>
      <c r="I5" s="2"/>
      <c r="J5" s="2">
        <v>9</v>
      </c>
      <c r="K5" s="2">
        <v>32000</v>
      </c>
    </row>
    <row r="6" spans="1:11" ht="12.75">
      <c r="A6" s="48" t="s">
        <v>130</v>
      </c>
      <c r="B6" s="12">
        <v>2000</v>
      </c>
      <c r="C6" s="2">
        <v>1786</v>
      </c>
      <c r="D6" s="2">
        <v>4000</v>
      </c>
      <c r="E6" s="2"/>
      <c r="F6" s="2"/>
      <c r="G6" s="2"/>
      <c r="H6" s="2"/>
      <c r="I6" s="2"/>
      <c r="J6" s="2">
        <v>9</v>
      </c>
      <c r="K6" s="2">
        <v>36000</v>
      </c>
    </row>
    <row r="7" spans="1:11" ht="12.75">
      <c r="A7" s="48" t="s">
        <v>138</v>
      </c>
      <c r="B7" s="12">
        <v>2004</v>
      </c>
      <c r="C7" s="2">
        <v>3922</v>
      </c>
      <c r="D7" s="2">
        <v>4500</v>
      </c>
      <c r="E7" s="23">
        <v>0.1</v>
      </c>
      <c r="F7" s="2"/>
      <c r="G7" s="2"/>
      <c r="H7" s="2"/>
      <c r="I7" s="23">
        <v>0.9</v>
      </c>
      <c r="J7" s="2">
        <v>10</v>
      </c>
      <c r="K7" s="2">
        <v>47500</v>
      </c>
    </row>
    <row r="8" spans="1:11" ht="12.75">
      <c r="A8" s="48" t="s">
        <v>148</v>
      </c>
      <c r="B8" s="12">
        <v>2000</v>
      </c>
      <c r="C8" s="51">
        <v>2740</v>
      </c>
      <c r="D8" s="2">
        <v>13300</v>
      </c>
      <c r="E8" s="2"/>
      <c r="F8" s="2"/>
      <c r="G8" s="2"/>
      <c r="H8" s="2"/>
      <c r="I8" s="2"/>
      <c r="J8" s="2">
        <v>9</v>
      </c>
      <c r="K8" s="2">
        <v>120000</v>
      </c>
    </row>
    <row r="9" spans="1:11" ht="12.75">
      <c r="A9" s="48" t="s">
        <v>128</v>
      </c>
      <c r="B9" s="12">
        <v>2000</v>
      </c>
      <c r="C9" s="2">
        <v>2388</v>
      </c>
      <c r="D9" s="2">
        <v>10000</v>
      </c>
      <c r="E9" s="2"/>
      <c r="F9" s="2"/>
      <c r="G9" s="2"/>
      <c r="H9" s="2"/>
      <c r="I9" s="2"/>
      <c r="J9" s="2">
        <v>6</v>
      </c>
      <c r="K9" s="2">
        <v>60000</v>
      </c>
    </row>
    <row r="10" spans="1:11" ht="12.75">
      <c r="A10" s="48" t="s">
        <v>149</v>
      </c>
      <c r="B10" s="12">
        <v>2000</v>
      </c>
      <c r="C10" s="2"/>
      <c r="D10" s="2">
        <v>32000</v>
      </c>
      <c r="E10" s="2"/>
      <c r="F10" s="2"/>
      <c r="G10" s="2"/>
      <c r="H10" s="2"/>
      <c r="I10" s="2"/>
      <c r="J10" s="2">
        <v>9</v>
      </c>
      <c r="K10" s="2">
        <v>300000</v>
      </c>
    </row>
    <row r="11" spans="1:11" ht="13.5" thickBot="1">
      <c r="A11" s="48" t="s">
        <v>152</v>
      </c>
      <c r="B11" s="12">
        <v>2004</v>
      </c>
      <c r="C11" s="2">
        <v>0</v>
      </c>
      <c r="D11" s="2">
        <v>1400</v>
      </c>
      <c r="E11" s="23">
        <v>0.1</v>
      </c>
      <c r="F11" s="2"/>
      <c r="G11" s="2"/>
      <c r="H11" s="2"/>
      <c r="I11" s="23">
        <v>0.5</v>
      </c>
      <c r="J11" s="2">
        <v>14</v>
      </c>
      <c r="K11" s="2">
        <v>20000</v>
      </c>
    </row>
    <row r="12" spans="1:11" ht="13.5" thickTop="1">
      <c r="A12" s="43"/>
      <c r="B12" s="12"/>
      <c r="C12" s="4"/>
      <c r="D12" s="2"/>
      <c r="E12" s="2"/>
      <c r="F12" s="2"/>
      <c r="G12" s="2"/>
      <c r="H12" s="2"/>
      <c r="I12" s="2"/>
      <c r="J12" s="2"/>
      <c r="K12" s="49">
        <f>SUM(K3:K11)</f>
        <v>821500</v>
      </c>
    </row>
    <row r="13" spans="1:10" ht="12.75">
      <c r="A13" s="43"/>
      <c r="B13" s="12"/>
      <c r="C13" s="4"/>
      <c r="D13" s="2"/>
      <c r="E13" s="2"/>
      <c r="F13" s="2"/>
      <c r="G13" s="2"/>
      <c r="H13" s="2"/>
      <c r="I13" s="2"/>
      <c r="J13" s="2"/>
    </row>
    <row r="19" spans="2:10" ht="12.75">
      <c r="B19" s="12"/>
      <c r="D19" s="2"/>
      <c r="E19" s="2"/>
      <c r="F19" s="2"/>
      <c r="G19" s="2"/>
      <c r="H19" s="2"/>
      <c r="I19" s="2"/>
      <c r="J19" s="2"/>
    </row>
    <row r="20" ht="12.75">
      <c r="A20" s="43"/>
    </row>
    <row r="21" ht="12.75">
      <c r="A21" s="43"/>
    </row>
    <row r="22" ht="12.75">
      <c r="A22" s="43"/>
    </row>
    <row r="23" ht="12.75">
      <c r="A23" s="43"/>
    </row>
  </sheetData>
  <sheetProtection/>
  <printOptions/>
  <pageMargins left="0.75" right="0.75" top="1" bottom="1" header="0.5" footer="0.5"/>
  <pageSetup horizontalDpi="200" verticalDpi="200" orientation="portrait" r:id="rId4"/>
  <drawing r:id="rId3"/>
  <legacyDrawing r:id="rId2"/>
</worksheet>
</file>

<file path=xl/worksheets/sheet15.xml><?xml version="1.0" encoding="utf-8"?>
<worksheet xmlns="http://schemas.openxmlformats.org/spreadsheetml/2006/main" xmlns:r="http://schemas.openxmlformats.org/officeDocument/2006/relationships">
  <dimension ref="A1:N42"/>
  <sheetViews>
    <sheetView zoomScalePageLayoutView="0" workbookViewId="0" topLeftCell="A1">
      <selection activeCell="B42" sqref="B42"/>
    </sheetView>
  </sheetViews>
  <sheetFormatPr defaultColWidth="9.140625" defaultRowHeight="12.75"/>
  <cols>
    <col min="1" max="1" width="34.7109375" style="0" customWidth="1"/>
    <col min="2" max="2" width="11.28125" style="0" customWidth="1"/>
    <col min="3" max="3" width="10.140625" style="0" customWidth="1"/>
    <col min="7" max="7" width="9.7109375" style="0" bestFit="1" customWidth="1"/>
    <col min="14" max="14" width="11.00390625" style="0" bestFit="1" customWidth="1"/>
    <col min="16" max="16" width="11.28125" style="0" bestFit="1" customWidth="1"/>
    <col min="17" max="17" width="11.28125" style="0" customWidth="1"/>
  </cols>
  <sheetData>
    <row r="1" spans="1:12" ht="38.25">
      <c r="A1" s="214" t="s">
        <v>478</v>
      </c>
      <c r="B1" s="215" t="s">
        <v>82</v>
      </c>
      <c r="C1" s="215" t="s">
        <v>95</v>
      </c>
      <c r="D1" s="215" t="s">
        <v>12</v>
      </c>
      <c r="E1" s="215" t="s">
        <v>47</v>
      </c>
      <c r="F1" s="215" t="s">
        <v>147</v>
      </c>
      <c r="G1" s="215" t="s">
        <v>477</v>
      </c>
      <c r="H1" s="206" t="s">
        <v>468</v>
      </c>
      <c r="I1" s="29"/>
      <c r="J1" s="29"/>
      <c r="K1" s="29"/>
      <c r="L1" s="29"/>
    </row>
    <row r="2" spans="1:8" ht="24" customHeight="1">
      <c r="A2" s="25" t="s">
        <v>159</v>
      </c>
      <c r="B2" s="18">
        <v>18</v>
      </c>
      <c r="C2" s="29">
        <v>700</v>
      </c>
      <c r="D2" s="457">
        <v>0.07</v>
      </c>
      <c r="E2" s="12" t="s">
        <v>188</v>
      </c>
      <c r="F2" s="29">
        <f>B34</f>
        <v>3451.5907173944133</v>
      </c>
      <c r="G2" s="29">
        <v>4000</v>
      </c>
      <c r="H2" s="29"/>
    </row>
    <row r="3" spans="1:8" ht="25.5" customHeight="1">
      <c r="A3" s="25" t="s">
        <v>185</v>
      </c>
      <c r="B3" s="18" t="s">
        <v>186</v>
      </c>
      <c r="C3" s="29">
        <v>500</v>
      </c>
      <c r="D3" s="457"/>
      <c r="E3" s="12" t="s">
        <v>189</v>
      </c>
      <c r="F3" s="29">
        <f>B38</f>
        <v>2754.643945206945</v>
      </c>
      <c r="G3" s="29">
        <v>4000</v>
      </c>
      <c r="H3" s="29"/>
    </row>
    <row r="4" spans="1:8" ht="38.25">
      <c r="A4" s="25" t="s">
        <v>184</v>
      </c>
      <c r="B4" s="12" t="s">
        <v>187</v>
      </c>
      <c r="C4" s="29">
        <v>1800</v>
      </c>
      <c r="D4" s="457"/>
      <c r="E4" s="12" t="s">
        <v>190</v>
      </c>
      <c r="F4" s="29">
        <f>B42</f>
        <v>10211.84164916234</v>
      </c>
      <c r="G4" s="29">
        <v>4000</v>
      </c>
      <c r="H4" s="29"/>
    </row>
    <row r="5" spans="1:8" ht="24.75" customHeight="1">
      <c r="A5" s="25" t="s">
        <v>479</v>
      </c>
      <c r="B5" s="12" t="s">
        <v>13</v>
      </c>
      <c r="C5" s="12" t="s">
        <v>13</v>
      </c>
      <c r="D5" s="12" t="s">
        <v>13</v>
      </c>
      <c r="E5" s="12" t="s">
        <v>13</v>
      </c>
      <c r="F5" s="12" t="s">
        <v>13</v>
      </c>
      <c r="G5" s="12" t="s">
        <v>13</v>
      </c>
      <c r="H5" s="12"/>
    </row>
    <row r="6" spans="1:8" ht="12.75">
      <c r="A6" s="216" t="s">
        <v>160</v>
      </c>
      <c r="B6" s="217"/>
      <c r="C6" s="218">
        <f>SUM(C2:C4)</f>
        <v>3000</v>
      </c>
      <c r="D6" s="219"/>
      <c r="E6" s="217"/>
      <c r="F6" s="218">
        <f>SUM(F2:F5)</f>
        <v>16418.076311763696</v>
      </c>
      <c r="G6" s="218"/>
      <c r="H6" s="220"/>
    </row>
    <row r="7" spans="1:8" ht="12.75">
      <c r="A7" s="25"/>
      <c r="B7" s="25"/>
      <c r="C7" s="12"/>
      <c r="D7" s="29"/>
      <c r="E7" s="22"/>
      <c r="F7" s="29"/>
      <c r="G7" s="29"/>
      <c r="H7" s="12"/>
    </row>
    <row r="8" spans="1:2" ht="12.75">
      <c r="A8" s="25"/>
      <c r="B8" s="25"/>
    </row>
    <row r="9" spans="1:3" ht="12.75">
      <c r="A9" s="458"/>
      <c r="B9" s="460">
        <v>2006</v>
      </c>
      <c r="C9" s="454" t="s">
        <v>480</v>
      </c>
    </row>
    <row r="10" spans="1:3" ht="12.75">
      <c r="A10" s="459"/>
      <c r="B10" s="461"/>
      <c r="C10" s="456"/>
    </row>
    <row r="11" spans="1:3" ht="12.75">
      <c r="A11" t="s">
        <v>430</v>
      </c>
      <c r="B11" s="31">
        <v>2114333</v>
      </c>
      <c r="C11" s="213">
        <f>F4/B11</f>
        <v>0.004829817086127086</v>
      </c>
    </row>
    <row r="12" spans="1:14" ht="12.75">
      <c r="A12" s="179" t="s">
        <v>437</v>
      </c>
      <c r="B12" s="180">
        <f>SUM(B13:B14)</f>
        <v>383546</v>
      </c>
      <c r="C12" s="213">
        <f>F3/B12</f>
        <v>0.007182043210480477</v>
      </c>
      <c r="N12" s="31"/>
    </row>
    <row r="13" spans="1:3" ht="12.75">
      <c r="A13" s="208" t="s">
        <v>472</v>
      </c>
      <c r="B13" s="180">
        <v>95452</v>
      </c>
      <c r="C13" s="2" t="s">
        <v>13</v>
      </c>
    </row>
    <row r="14" spans="1:3" ht="12.75">
      <c r="A14" s="208" t="s">
        <v>473</v>
      </c>
      <c r="B14" s="180">
        <v>288094</v>
      </c>
      <c r="C14" s="2" t="s">
        <v>13</v>
      </c>
    </row>
    <row r="15" spans="1:3" ht="12.75">
      <c r="A15" s="179" t="s">
        <v>438</v>
      </c>
      <c r="B15" s="180">
        <v>71680</v>
      </c>
      <c r="C15" s="44">
        <f>F2/B15</f>
        <v>0.04815277228507831</v>
      </c>
    </row>
    <row r="16" spans="1:2" ht="12.75">
      <c r="A16" s="43"/>
      <c r="B16" s="31"/>
    </row>
    <row r="17" spans="1:6" ht="12.75">
      <c r="A17" s="43"/>
      <c r="B17" s="31"/>
      <c r="C17" s="210"/>
      <c r="D17" s="31"/>
      <c r="E17" s="11"/>
      <c r="F17" s="31"/>
    </row>
    <row r="18" spans="4:13" ht="24.75" customHeight="1">
      <c r="D18" s="31"/>
      <c r="E18" s="31"/>
      <c r="F18" s="31"/>
      <c r="G18" s="31"/>
      <c r="H18" s="31"/>
      <c r="I18" s="31"/>
      <c r="J18" s="31"/>
      <c r="K18" s="460">
        <v>2006</v>
      </c>
      <c r="L18" s="454" t="s">
        <v>474</v>
      </c>
      <c r="M18" s="454" t="s">
        <v>475</v>
      </c>
    </row>
    <row r="19" spans="1:13" ht="12.75" customHeight="1">
      <c r="A19" s="174"/>
      <c r="B19" s="198">
        <v>1995</v>
      </c>
      <c r="C19" s="198">
        <v>1998</v>
      </c>
      <c r="D19" s="198">
        <v>1999</v>
      </c>
      <c r="E19" s="198">
        <v>2000</v>
      </c>
      <c r="F19" s="198">
        <v>2001</v>
      </c>
      <c r="G19" s="198">
        <v>2002</v>
      </c>
      <c r="H19" s="198">
        <v>2003</v>
      </c>
      <c r="I19" s="198">
        <v>2004</v>
      </c>
      <c r="J19" s="198">
        <v>2005</v>
      </c>
      <c r="K19" s="461"/>
      <c r="L19" s="455"/>
      <c r="M19" s="455"/>
    </row>
    <row r="20" spans="1:13" ht="12.75">
      <c r="A20" t="s">
        <v>430</v>
      </c>
      <c r="B20" s="31">
        <v>1527212</v>
      </c>
      <c r="C20" s="31">
        <v>1531748</v>
      </c>
      <c r="D20" s="31">
        <v>1721200</v>
      </c>
      <c r="E20" s="31">
        <v>1696631</v>
      </c>
      <c r="F20" s="31">
        <v>1719654</v>
      </c>
      <c r="G20" s="31">
        <v>1810071</v>
      </c>
      <c r="H20" s="31">
        <v>1879755</v>
      </c>
      <c r="I20" s="31">
        <v>1940180</v>
      </c>
      <c r="J20" s="31">
        <v>2030254</v>
      </c>
      <c r="K20" s="31">
        <v>2114333</v>
      </c>
      <c r="L20" s="209">
        <v>0.038</v>
      </c>
      <c r="M20" s="31">
        <f>K20*L20</f>
        <v>80344.654</v>
      </c>
    </row>
    <row r="21" spans="1:13" ht="12.75">
      <c r="A21" s="179" t="s">
        <v>437</v>
      </c>
      <c r="B21" s="180">
        <v>337421</v>
      </c>
      <c r="C21" s="180">
        <v>339021</v>
      </c>
      <c r="D21" s="180">
        <v>346823</v>
      </c>
      <c r="E21" s="180">
        <v>346628</v>
      </c>
      <c r="F21" s="180">
        <v>332102</v>
      </c>
      <c r="G21" s="180">
        <v>341651</v>
      </c>
      <c r="H21" s="180">
        <v>348673</v>
      </c>
      <c r="I21" s="180">
        <v>358704</v>
      </c>
      <c r="J21" s="180">
        <f>SUM(J22:J23)</f>
        <v>368520</v>
      </c>
      <c r="K21" s="180">
        <f>SUM(K22:K23)</f>
        <v>383546</v>
      </c>
      <c r="L21" s="210">
        <v>0.029</v>
      </c>
      <c r="M21" s="180">
        <f>K21*L21</f>
        <v>11122.834</v>
      </c>
    </row>
    <row r="22" spans="1:13" ht="12.75">
      <c r="A22" s="208" t="s">
        <v>472</v>
      </c>
      <c r="B22" s="180"/>
      <c r="C22" s="180"/>
      <c r="D22" s="180"/>
      <c r="E22" s="180"/>
      <c r="F22" s="180"/>
      <c r="G22" s="180"/>
      <c r="H22" s="180"/>
      <c r="I22" s="180"/>
      <c r="J22" s="180">
        <v>88768</v>
      </c>
      <c r="K22" s="180">
        <v>95452</v>
      </c>
      <c r="L22" s="85" t="s">
        <v>13</v>
      </c>
      <c r="M22" s="180" t="s">
        <v>13</v>
      </c>
    </row>
    <row r="23" spans="1:13" ht="12.75">
      <c r="A23" s="208" t="s">
        <v>473</v>
      </c>
      <c r="B23" s="180"/>
      <c r="C23" s="180"/>
      <c r="D23" s="180"/>
      <c r="E23" s="180"/>
      <c r="F23" s="180"/>
      <c r="G23" s="180"/>
      <c r="H23" s="180"/>
      <c r="I23" s="180"/>
      <c r="J23" s="180">
        <v>279752</v>
      </c>
      <c r="K23" s="180">
        <v>288094</v>
      </c>
      <c r="L23" s="85" t="s">
        <v>13</v>
      </c>
      <c r="M23" s="180" t="s">
        <v>13</v>
      </c>
    </row>
    <row r="24" spans="1:13" ht="12.75">
      <c r="A24" s="179" t="s">
        <v>438</v>
      </c>
      <c r="B24" s="180">
        <v>58322</v>
      </c>
      <c r="C24" s="180">
        <v>58858</v>
      </c>
      <c r="D24" s="180">
        <v>63295</v>
      </c>
      <c r="E24" s="180">
        <v>61117</v>
      </c>
      <c r="F24" s="180">
        <v>61502</v>
      </c>
      <c r="G24" s="180">
        <v>61519</v>
      </c>
      <c r="H24" s="180">
        <v>64261</v>
      </c>
      <c r="I24" s="180">
        <v>66197</v>
      </c>
      <c r="J24" s="180">
        <v>69723</v>
      </c>
      <c r="K24" s="180">
        <v>71680</v>
      </c>
      <c r="L24" s="210">
        <v>0.029</v>
      </c>
      <c r="M24" s="180">
        <f>K24*L24</f>
        <v>2078.7200000000003</v>
      </c>
    </row>
    <row r="25" spans="1:13" ht="12.75">
      <c r="A25" s="179" t="s">
        <v>439</v>
      </c>
      <c r="B25" s="180">
        <v>46971</v>
      </c>
      <c r="C25" s="180">
        <v>17614</v>
      </c>
      <c r="D25" s="180">
        <v>17697</v>
      </c>
      <c r="E25" s="180">
        <v>18714</v>
      </c>
      <c r="F25" s="180">
        <v>18980</v>
      </c>
      <c r="G25" s="180">
        <v>17504</v>
      </c>
      <c r="H25" s="180">
        <v>18599</v>
      </c>
      <c r="I25" s="180">
        <v>17616</v>
      </c>
      <c r="J25" s="180">
        <v>19962</v>
      </c>
      <c r="K25" s="180">
        <v>20293</v>
      </c>
      <c r="L25" s="210" t="s">
        <v>13</v>
      </c>
      <c r="M25" s="180" t="s">
        <v>13</v>
      </c>
    </row>
    <row r="26" spans="1:13" ht="12.75">
      <c r="A26" t="s">
        <v>440</v>
      </c>
      <c r="B26" s="31">
        <v>442714</v>
      </c>
      <c r="C26" s="31">
        <v>415493</v>
      </c>
      <c r="D26" s="31">
        <v>427815</v>
      </c>
      <c r="E26" s="31">
        <v>426459</v>
      </c>
      <c r="F26" s="31">
        <v>412584</v>
      </c>
      <c r="G26" s="31">
        <v>420674</v>
      </c>
      <c r="H26" s="31">
        <v>431533</v>
      </c>
      <c r="I26" s="31">
        <v>442517</v>
      </c>
      <c r="J26" s="31">
        <f>J21+J24+J25</f>
        <v>458205</v>
      </c>
      <c r="K26" s="31">
        <f>K21+K24+K25</f>
        <v>475519</v>
      </c>
      <c r="L26" s="211" t="s">
        <v>13</v>
      </c>
      <c r="M26" s="31"/>
    </row>
    <row r="27" spans="1:13" ht="12.75">
      <c r="A27" s="43" t="s">
        <v>433</v>
      </c>
      <c r="B27" s="31">
        <v>52170</v>
      </c>
      <c r="C27" s="31">
        <v>53298</v>
      </c>
      <c r="D27" s="31">
        <v>65891</v>
      </c>
      <c r="E27" s="31">
        <v>55805</v>
      </c>
      <c r="F27" s="31">
        <v>55078</v>
      </c>
      <c r="G27" s="31">
        <v>56754</v>
      </c>
      <c r="H27" s="31">
        <v>70122</v>
      </c>
      <c r="I27" s="31">
        <v>61728</v>
      </c>
      <c r="J27" s="31">
        <v>72620</v>
      </c>
      <c r="K27" s="31">
        <v>73375</v>
      </c>
      <c r="L27" s="210">
        <v>0.018</v>
      </c>
      <c r="M27" s="31">
        <f>K27*L27</f>
        <v>1320.75</v>
      </c>
    </row>
    <row r="30" ht="15">
      <c r="B30" s="97" t="s">
        <v>476</v>
      </c>
    </row>
    <row r="31" spans="2:13" ht="26.25">
      <c r="B31" s="4" t="s">
        <v>147</v>
      </c>
      <c r="C31" s="4" t="s">
        <v>12</v>
      </c>
      <c r="D31" s="212">
        <v>2006</v>
      </c>
      <c r="E31" s="212">
        <v>2005</v>
      </c>
      <c r="F31" s="212">
        <v>2004</v>
      </c>
      <c r="G31" s="212">
        <v>2003</v>
      </c>
      <c r="H31" s="212">
        <v>2002</v>
      </c>
      <c r="I31" s="212">
        <v>2001</v>
      </c>
      <c r="J31" s="212">
        <v>2000</v>
      </c>
      <c r="K31" s="212">
        <v>1999</v>
      </c>
      <c r="L31" s="212">
        <v>1998</v>
      </c>
      <c r="M31" s="212">
        <v>1997</v>
      </c>
    </row>
    <row r="32" spans="2:13" ht="12.75">
      <c r="B32" s="12" t="s">
        <v>13</v>
      </c>
      <c r="C32" s="21">
        <v>0.07</v>
      </c>
      <c r="D32" s="2">
        <v>700</v>
      </c>
      <c r="E32" s="6">
        <f aca="true" t="shared" si="0" ref="E32:M32">D32*(1-$C$32)</f>
        <v>651</v>
      </c>
      <c r="F32" s="6">
        <f t="shared" si="0"/>
        <v>605.43</v>
      </c>
      <c r="G32" s="6">
        <f t="shared" si="0"/>
        <v>563.0498999999999</v>
      </c>
      <c r="H32" s="6">
        <f t="shared" si="0"/>
        <v>523.6364069999998</v>
      </c>
      <c r="I32" s="6">
        <f t="shared" si="0"/>
        <v>486.9818585099998</v>
      </c>
      <c r="J32" s="6">
        <f t="shared" si="0"/>
        <v>452.8931284142998</v>
      </c>
      <c r="K32" s="6">
        <f t="shared" si="0"/>
        <v>421.19060942529876</v>
      </c>
      <c r="L32" s="6">
        <f t="shared" si="0"/>
        <v>391.70726676552783</v>
      </c>
      <c r="M32" s="6">
        <f t="shared" si="0"/>
        <v>364.2877580919409</v>
      </c>
    </row>
    <row r="33" spans="2:13" ht="12.75">
      <c r="B33" s="2" t="s">
        <v>308</v>
      </c>
      <c r="C33" s="2" t="s">
        <v>13</v>
      </c>
      <c r="D33" s="2">
        <v>1</v>
      </c>
      <c r="E33" s="2">
        <v>1</v>
      </c>
      <c r="F33" s="2">
        <v>1</v>
      </c>
      <c r="G33" s="2">
        <v>0.9</v>
      </c>
      <c r="H33" s="2">
        <v>0.8</v>
      </c>
      <c r="I33" s="2">
        <v>0.5</v>
      </c>
      <c r="J33" s="2">
        <v>0.2</v>
      </c>
      <c r="K33" s="2">
        <v>0.2</v>
      </c>
      <c r="L33" s="2">
        <v>0.2</v>
      </c>
      <c r="M33" s="2">
        <v>0.2</v>
      </c>
    </row>
    <row r="34" spans="2:13" ht="12.75">
      <c r="B34" s="6">
        <f>SUM(D34:M34)</f>
        <v>3451.5907173944133</v>
      </c>
      <c r="D34" s="6">
        <f>D32*D33</f>
        <v>700</v>
      </c>
      <c r="E34" s="6">
        <f aca="true" t="shared" si="1" ref="E34:M34">E32*E33</f>
        <v>651</v>
      </c>
      <c r="F34" s="6">
        <f t="shared" si="1"/>
        <v>605.43</v>
      </c>
      <c r="G34" s="6">
        <f t="shared" si="1"/>
        <v>506.7449099999999</v>
      </c>
      <c r="H34" s="6">
        <f t="shared" si="1"/>
        <v>418.9091255999999</v>
      </c>
      <c r="I34" s="6">
        <f t="shared" si="1"/>
        <v>243.4909292549999</v>
      </c>
      <c r="J34" s="6">
        <f t="shared" si="1"/>
        <v>90.57862568285996</v>
      </c>
      <c r="K34" s="6">
        <f t="shared" si="1"/>
        <v>84.23812188505975</v>
      </c>
      <c r="L34" s="6">
        <f t="shared" si="1"/>
        <v>78.34145335310558</v>
      </c>
      <c r="M34" s="6">
        <f t="shared" si="1"/>
        <v>72.85755161838817</v>
      </c>
    </row>
    <row r="35" spans="2:13" ht="26.25">
      <c r="B35" s="4" t="s">
        <v>147</v>
      </c>
      <c r="C35" s="4" t="s">
        <v>12</v>
      </c>
      <c r="D35" s="212">
        <v>2006</v>
      </c>
      <c r="E35" s="212">
        <v>2005</v>
      </c>
      <c r="F35" s="212">
        <v>2004</v>
      </c>
      <c r="G35" s="212">
        <v>2003</v>
      </c>
      <c r="H35" s="212">
        <v>2002</v>
      </c>
      <c r="I35" s="212">
        <v>2001</v>
      </c>
      <c r="J35" s="212">
        <v>2000</v>
      </c>
      <c r="K35" s="212">
        <v>1999</v>
      </c>
      <c r="L35" s="212">
        <v>1998</v>
      </c>
      <c r="M35" s="212">
        <v>1997</v>
      </c>
    </row>
    <row r="36" spans="2:13" ht="12.75">
      <c r="B36" s="12" t="s">
        <v>13</v>
      </c>
      <c r="C36" s="21">
        <v>0.07</v>
      </c>
      <c r="D36" s="2">
        <v>500</v>
      </c>
      <c r="E36" s="6">
        <f aca="true" t="shared" si="2" ref="E36:M36">D36*(1-$C$36)</f>
        <v>464.99999999999994</v>
      </c>
      <c r="F36" s="6">
        <f t="shared" si="2"/>
        <v>432.44999999999993</v>
      </c>
      <c r="G36" s="6">
        <f t="shared" si="2"/>
        <v>402.17849999999993</v>
      </c>
      <c r="H36" s="6">
        <f t="shared" si="2"/>
        <v>374.0260049999999</v>
      </c>
      <c r="I36" s="6">
        <f t="shared" si="2"/>
        <v>347.8441846499999</v>
      </c>
      <c r="J36" s="6">
        <f t="shared" si="2"/>
        <v>323.49509172449984</v>
      </c>
      <c r="K36" s="6">
        <f t="shared" si="2"/>
        <v>300.8504353037848</v>
      </c>
      <c r="L36" s="6">
        <f t="shared" si="2"/>
        <v>279.79090483251986</v>
      </c>
      <c r="M36" s="6">
        <f t="shared" si="2"/>
        <v>260.20554149424345</v>
      </c>
    </row>
    <row r="37" spans="2:13" ht="12.75">
      <c r="B37" s="2" t="s">
        <v>308</v>
      </c>
      <c r="C37" s="2" t="s">
        <v>13</v>
      </c>
      <c r="D37" s="2">
        <v>1</v>
      </c>
      <c r="E37" s="2">
        <v>1</v>
      </c>
      <c r="F37" s="2">
        <v>1</v>
      </c>
      <c r="G37" s="2">
        <v>0.9</v>
      </c>
      <c r="H37" s="2">
        <v>0.8</v>
      </c>
      <c r="I37" s="2">
        <v>0.7</v>
      </c>
      <c r="J37" s="2">
        <v>0.6</v>
      </c>
      <c r="K37" s="2">
        <v>0.5</v>
      </c>
      <c r="L37" s="2">
        <v>0.2</v>
      </c>
      <c r="M37" s="2">
        <v>0.2</v>
      </c>
    </row>
    <row r="38" spans="2:13" ht="12.75">
      <c r="B38" s="6">
        <f>SUM(D38:M38)</f>
        <v>2754.643945206945</v>
      </c>
      <c r="D38" s="6">
        <f aca="true" t="shared" si="3" ref="D38:M38">D36*D37</f>
        <v>500</v>
      </c>
      <c r="E38" s="6">
        <f t="shared" si="3"/>
        <v>464.99999999999994</v>
      </c>
      <c r="F38" s="6">
        <f t="shared" si="3"/>
        <v>432.44999999999993</v>
      </c>
      <c r="G38" s="6">
        <f t="shared" si="3"/>
        <v>361.96064999999993</v>
      </c>
      <c r="H38" s="6">
        <f t="shared" si="3"/>
        <v>299.22080399999993</v>
      </c>
      <c r="I38" s="6">
        <f t="shared" si="3"/>
        <v>243.49092925499988</v>
      </c>
      <c r="J38" s="6">
        <f t="shared" si="3"/>
        <v>194.0970550346999</v>
      </c>
      <c r="K38" s="6">
        <f t="shared" si="3"/>
        <v>150.4252176518924</v>
      </c>
      <c r="L38" s="6">
        <f t="shared" si="3"/>
        <v>55.958180966503974</v>
      </c>
      <c r="M38" s="6">
        <f t="shared" si="3"/>
        <v>52.04110829884869</v>
      </c>
    </row>
    <row r="39" spans="2:13" ht="26.25">
      <c r="B39" s="4" t="s">
        <v>147</v>
      </c>
      <c r="C39" s="4" t="s">
        <v>12</v>
      </c>
      <c r="D39" s="212">
        <v>2006</v>
      </c>
      <c r="E39" s="212">
        <v>2005</v>
      </c>
      <c r="F39" s="212">
        <v>2004</v>
      </c>
      <c r="G39" s="212">
        <v>2003</v>
      </c>
      <c r="H39" s="212">
        <v>2002</v>
      </c>
      <c r="I39" s="212">
        <v>2001</v>
      </c>
      <c r="J39" s="212">
        <v>2000</v>
      </c>
      <c r="K39" s="212">
        <v>1999</v>
      </c>
      <c r="L39" s="212">
        <v>1998</v>
      </c>
      <c r="M39" s="212">
        <v>1997</v>
      </c>
    </row>
    <row r="40" spans="2:13" ht="12.75">
      <c r="B40" s="12" t="s">
        <v>13</v>
      </c>
      <c r="C40" s="21">
        <v>0.07</v>
      </c>
      <c r="D40" s="2">
        <v>1800</v>
      </c>
      <c r="E40" s="6">
        <f aca="true" t="shared" si="4" ref="E40:M40">D40*(1-$C$40)</f>
        <v>1674</v>
      </c>
      <c r="F40" s="6">
        <f t="shared" si="4"/>
        <v>1556.82</v>
      </c>
      <c r="G40" s="6">
        <f t="shared" si="4"/>
        <v>1447.8426</v>
      </c>
      <c r="H40" s="6">
        <f t="shared" si="4"/>
        <v>1346.493618</v>
      </c>
      <c r="I40" s="6">
        <f t="shared" si="4"/>
        <v>1252.2390647399998</v>
      </c>
      <c r="J40" s="6">
        <f t="shared" si="4"/>
        <v>1164.5823302081997</v>
      </c>
      <c r="K40" s="6">
        <f t="shared" si="4"/>
        <v>1083.0615670936256</v>
      </c>
      <c r="L40" s="6">
        <f t="shared" si="4"/>
        <v>1007.2472573970717</v>
      </c>
      <c r="M40" s="6">
        <f t="shared" si="4"/>
        <v>936.7399493792766</v>
      </c>
    </row>
    <row r="41" spans="2:13" ht="12.75">
      <c r="B41" s="2" t="s">
        <v>308</v>
      </c>
      <c r="C41" s="2" t="s">
        <v>13</v>
      </c>
      <c r="D41" s="2">
        <v>1</v>
      </c>
      <c r="E41" s="2">
        <v>1</v>
      </c>
      <c r="F41" s="2">
        <v>1</v>
      </c>
      <c r="G41" s="2">
        <v>0.9</v>
      </c>
      <c r="H41" s="2">
        <v>0.8</v>
      </c>
      <c r="I41" s="2">
        <v>0.7</v>
      </c>
      <c r="J41" s="2">
        <v>0.6</v>
      </c>
      <c r="K41" s="2">
        <v>0.5</v>
      </c>
      <c r="L41" s="2">
        <v>0.4</v>
      </c>
      <c r="M41" s="2">
        <v>0.3</v>
      </c>
    </row>
    <row r="42" spans="2:13" ht="12.75">
      <c r="B42" s="6">
        <f>SUM(D42:M42)</f>
        <v>10211.84164916234</v>
      </c>
      <c r="D42" s="6">
        <f aca="true" t="shared" si="5" ref="D42:M42">D40*D41</f>
        <v>1800</v>
      </c>
      <c r="E42" s="6">
        <f t="shared" si="5"/>
        <v>1674</v>
      </c>
      <c r="F42" s="6">
        <f t="shared" si="5"/>
        <v>1556.82</v>
      </c>
      <c r="G42" s="6">
        <f t="shared" si="5"/>
        <v>1303.05834</v>
      </c>
      <c r="H42" s="6">
        <f t="shared" si="5"/>
        <v>1077.1948944</v>
      </c>
      <c r="I42" s="6">
        <f t="shared" si="5"/>
        <v>876.5673453179998</v>
      </c>
      <c r="J42" s="6">
        <f t="shared" si="5"/>
        <v>698.7493981249198</v>
      </c>
      <c r="K42" s="6">
        <f t="shared" si="5"/>
        <v>541.5307835468128</v>
      </c>
      <c r="L42" s="6">
        <f t="shared" si="5"/>
        <v>402.8989029588287</v>
      </c>
      <c r="M42" s="6">
        <f t="shared" si="5"/>
        <v>281.021984813783</v>
      </c>
    </row>
  </sheetData>
  <sheetProtection/>
  <mergeCells count="7">
    <mergeCell ref="M18:M19"/>
    <mergeCell ref="C9:C10"/>
    <mergeCell ref="D2:D4"/>
    <mergeCell ref="A9:A10"/>
    <mergeCell ref="B9:B10"/>
    <mergeCell ref="K18:K19"/>
    <mergeCell ref="L18:L19"/>
  </mergeCells>
  <printOptions/>
  <pageMargins left="0.75" right="0.75" top="1" bottom="1" header="0.5" footer="0.5"/>
  <pageSetup horizontalDpi="200" verticalDpi="200" orientation="portrait" r:id="rId3"/>
  <ignoredErrors>
    <ignoredError sqref="B12 J21:K21" formulaRange="1"/>
  </ignoredErrors>
  <legacyDrawing r:id="rId2"/>
</worksheet>
</file>

<file path=xl/worksheets/sheet16.xml><?xml version="1.0" encoding="utf-8"?>
<worksheet xmlns="http://schemas.openxmlformats.org/spreadsheetml/2006/main" xmlns:r="http://schemas.openxmlformats.org/officeDocument/2006/relationships">
  <dimension ref="A1:V93"/>
  <sheetViews>
    <sheetView zoomScalePageLayoutView="0" workbookViewId="0" topLeftCell="H1">
      <selection activeCell="J23" sqref="J23"/>
    </sheetView>
  </sheetViews>
  <sheetFormatPr defaultColWidth="9.140625" defaultRowHeight="12.75"/>
  <cols>
    <col min="1" max="1" width="22.7109375" style="0" customWidth="1"/>
    <col min="2" max="2" width="11.421875" style="0" customWidth="1"/>
    <col min="3" max="3" width="10.8515625" style="0" customWidth="1"/>
    <col min="4" max="4" width="12.57421875" style="0" customWidth="1"/>
    <col min="5" max="10" width="10.140625" style="0" bestFit="1" customWidth="1"/>
    <col min="11" max="11" width="10.140625" style="0" customWidth="1"/>
    <col min="12" max="12" width="19.28125" style="0" customWidth="1"/>
    <col min="13" max="13" width="17.28125" style="0" customWidth="1"/>
    <col min="16" max="16" width="21.7109375" style="0" customWidth="1"/>
    <col min="17" max="17" width="16.421875" style="0" customWidth="1"/>
  </cols>
  <sheetData>
    <row r="1" spans="1:16" ht="15.75" customHeight="1">
      <c r="A1" s="97" t="s">
        <v>463</v>
      </c>
      <c r="L1" s="178"/>
      <c r="P1" s="171" t="s">
        <v>425</v>
      </c>
    </row>
    <row r="2" spans="1:22" ht="26.25" customHeight="1">
      <c r="A2" s="467"/>
      <c r="B2" s="321" t="s">
        <v>800</v>
      </c>
      <c r="C2" s="321" t="s">
        <v>801</v>
      </c>
      <c r="D2" s="468" t="s">
        <v>466</v>
      </c>
      <c r="E2" s="468"/>
      <c r="F2" s="454" t="s">
        <v>470</v>
      </c>
      <c r="G2" s="454" t="s">
        <v>471</v>
      </c>
      <c r="H2" s="463" t="s">
        <v>802</v>
      </c>
      <c r="I2" s="465" t="s">
        <v>803</v>
      </c>
      <c r="J2" s="463" t="s">
        <v>804</v>
      </c>
      <c r="K2" s="463" t="s">
        <v>805</v>
      </c>
      <c r="L2" s="469" t="s">
        <v>232</v>
      </c>
      <c r="M2" s="470"/>
      <c r="N2" s="2"/>
      <c r="P2" s="172"/>
      <c r="Q2" s="173" t="s">
        <v>426</v>
      </c>
      <c r="R2" s="173" t="s">
        <v>284</v>
      </c>
      <c r="S2" s="173" t="s">
        <v>427</v>
      </c>
      <c r="T2" s="173" t="s">
        <v>284</v>
      </c>
      <c r="U2" s="173" t="s">
        <v>428</v>
      </c>
      <c r="V2" s="176" t="s">
        <v>284</v>
      </c>
    </row>
    <row r="3" spans="1:22" ht="12.75" customHeight="1">
      <c r="A3" s="467"/>
      <c r="B3" s="78" t="s">
        <v>806</v>
      </c>
      <c r="C3" s="78" t="s">
        <v>807</v>
      </c>
      <c r="D3" s="205" t="s">
        <v>169</v>
      </c>
      <c r="E3" s="205" t="s">
        <v>467</v>
      </c>
      <c r="F3" s="455"/>
      <c r="G3" s="455"/>
      <c r="H3" s="464"/>
      <c r="I3" s="466"/>
      <c r="J3" s="455"/>
      <c r="K3" s="464"/>
      <c r="L3" s="469"/>
      <c r="M3" s="470"/>
      <c r="N3" s="2"/>
      <c r="P3" s="48" t="s">
        <v>429</v>
      </c>
      <c r="Q3" s="31">
        <v>2777</v>
      </c>
      <c r="R3" s="5">
        <v>78</v>
      </c>
      <c r="S3" s="31">
        <v>261</v>
      </c>
      <c r="T3" s="5">
        <v>45</v>
      </c>
      <c r="U3" s="31">
        <v>416</v>
      </c>
      <c r="V3" s="5">
        <v>78.9</v>
      </c>
    </row>
    <row r="4" spans="1:22" ht="12.75">
      <c r="A4" t="s">
        <v>436</v>
      </c>
      <c r="B4" s="322">
        <v>11.011</v>
      </c>
      <c r="D4" s="180">
        <f>SUM(D5:D7)</f>
        <v>18144</v>
      </c>
      <c r="E4" s="323"/>
      <c r="F4" s="207"/>
      <c r="G4" s="5"/>
      <c r="I4" s="324">
        <v>0.7</v>
      </c>
      <c r="J4" s="324">
        <v>0.5</v>
      </c>
      <c r="K4" s="325">
        <f>J4*B4*$N$4*$N$11*'Greenhouse Emission Factors'!$D$79*1000</f>
        <v>1316915.6</v>
      </c>
      <c r="L4" s="326" t="s">
        <v>462</v>
      </c>
      <c r="N4" s="11">
        <v>0.92</v>
      </c>
      <c r="P4" s="48" t="s">
        <v>430</v>
      </c>
      <c r="Q4" s="31">
        <v>543</v>
      </c>
      <c r="R4" s="5">
        <v>15.2</v>
      </c>
      <c r="S4" s="31">
        <v>66</v>
      </c>
      <c r="T4" s="5">
        <v>11.4</v>
      </c>
      <c r="U4" s="31">
        <v>67</v>
      </c>
      <c r="V4" s="5">
        <v>12.7</v>
      </c>
    </row>
    <row r="5" spans="1:22" ht="17.25" customHeight="1">
      <c r="A5" s="327" t="s">
        <v>808</v>
      </c>
      <c r="B5" s="327"/>
      <c r="C5" s="327" t="s">
        <v>809</v>
      </c>
      <c r="D5" s="328">
        <v>15856</v>
      </c>
      <c r="E5" s="329">
        <f>D5*$N$4*$N$6</f>
        <v>437.6256</v>
      </c>
      <c r="F5" s="207">
        <v>0.026</v>
      </c>
      <c r="G5" s="5">
        <f>E5*(1+F5)</f>
        <v>449.00386560000004</v>
      </c>
      <c r="H5" s="325">
        <f>G5*'Greenhouse Emission Factors'!$E$12*1000</f>
        <v>1077609.27744</v>
      </c>
      <c r="I5" s="330"/>
      <c r="J5" s="330"/>
      <c r="K5" s="331"/>
      <c r="L5" s="332" t="s">
        <v>810</v>
      </c>
      <c r="N5" s="11"/>
      <c r="P5" s="48"/>
      <c r="Q5" s="31"/>
      <c r="R5" s="5"/>
      <c r="S5" s="31"/>
      <c r="T5" s="5"/>
      <c r="U5" s="31"/>
      <c r="V5" s="5"/>
    </row>
    <row r="6" spans="1:22" ht="12.75">
      <c r="A6" s="327" t="s">
        <v>811</v>
      </c>
      <c r="B6" s="327"/>
      <c r="C6" s="327" t="s">
        <v>809</v>
      </c>
      <c r="D6" s="328">
        <v>1081</v>
      </c>
      <c r="E6" s="329">
        <f>D6*$N$4*$N$6</f>
        <v>29.835600000000003</v>
      </c>
      <c r="F6" s="207">
        <v>0.026</v>
      </c>
      <c r="G6" s="5">
        <f>E6*(1+F6)</f>
        <v>30.611325600000004</v>
      </c>
      <c r="H6" s="325">
        <f>G6*'Greenhouse Emission Factors'!$E$14*1000</f>
        <v>82650.57912000002</v>
      </c>
      <c r="I6" s="330"/>
      <c r="J6" s="330"/>
      <c r="K6" s="333"/>
      <c r="L6" s="332" t="s">
        <v>812</v>
      </c>
      <c r="N6" s="334">
        <v>0.03</v>
      </c>
      <c r="P6" s="48"/>
      <c r="Q6" s="31"/>
      <c r="R6" s="5"/>
      <c r="S6" s="31"/>
      <c r="T6" s="5"/>
      <c r="U6" s="31"/>
      <c r="V6" s="5"/>
    </row>
    <row r="7" spans="1:22" ht="12.75">
      <c r="A7" s="327" t="s">
        <v>813</v>
      </c>
      <c r="B7" s="327"/>
      <c r="C7" s="327" t="s">
        <v>809</v>
      </c>
      <c r="D7" s="328">
        <v>1207</v>
      </c>
      <c r="E7" s="329">
        <f>D7*$N$4*$N$6</f>
        <v>33.3132</v>
      </c>
      <c r="F7" s="207">
        <v>0.026</v>
      </c>
      <c r="G7" s="5">
        <f>E7*(1+F7)</f>
        <v>34.179343200000005</v>
      </c>
      <c r="H7" s="325">
        <f>G7*'Greenhouse Emission Factors'!$E$19*1000</f>
        <v>54686.949120000005</v>
      </c>
      <c r="I7" s="330"/>
      <c r="J7" s="330"/>
      <c r="K7" s="333"/>
      <c r="L7" s="332" t="s">
        <v>814</v>
      </c>
      <c r="M7" s="335"/>
      <c r="N7" s="336">
        <f>P7*3.8*5/9</f>
        <v>1.6888888888888889</v>
      </c>
      <c r="O7" t="s">
        <v>815</v>
      </c>
      <c r="P7" s="48">
        <v>0.8</v>
      </c>
      <c r="Q7" s="31"/>
      <c r="R7" s="5"/>
      <c r="S7" s="31"/>
      <c r="T7" s="5"/>
      <c r="U7" s="31"/>
      <c r="V7" s="5"/>
    </row>
    <row r="8" spans="1:22" s="182" customFormat="1" ht="12.75">
      <c r="A8" t="s">
        <v>430</v>
      </c>
      <c r="B8" s="322">
        <v>1.996</v>
      </c>
      <c r="C8" s="327" t="s">
        <v>809</v>
      </c>
      <c r="D8" s="180">
        <f>SUM(D9:D11)</f>
        <v>4484</v>
      </c>
      <c r="E8" s="323"/>
      <c r="F8" s="207"/>
      <c r="G8" s="5"/>
      <c r="H8" s="322"/>
      <c r="I8" s="337">
        <v>0.7</v>
      </c>
      <c r="J8" s="337">
        <v>0.5</v>
      </c>
      <c r="K8" s="325">
        <f>J8*B8*$N$4*$N$11*'Greenhouse Emission Factors'!$D$79*1000</f>
        <v>238721.60000000003</v>
      </c>
      <c r="L8" s="332" t="s">
        <v>816</v>
      </c>
      <c r="N8" s="338">
        <f>N7/2</f>
        <v>0.8444444444444444</v>
      </c>
      <c r="O8" t="s">
        <v>815</v>
      </c>
      <c r="P8" s="48" t="s">
        <v>431</v>
      </c>
      <c r="Q8" s="31">
        <v>61</v>
      </c>
      <c r="R8" s="5">
        <v>1.7</v>
      </c>
      <c r="S8" s="31">
        <v>56</v>
      </c>
      <c r="T8" s="5">
        <v>9.7</v>
      </c>
      <c r="U8" s="31">
        <v>17</v>
      </c>
      <c r="V8" s="5">
        <v>3.2</v>
      </c>
    </row>
    <row r="9" spans="1:22" s="182" customFormat="1" ht="12.75">
      <c r="A9" s="327" t="s">
        <v>808</v>
      </c>
      <c r="B9" s="327"/>
      <c r="C9" s="327" t="s">
        <v>809</v>
      </c>
      <c r="D9" s="339">
        <v>2699</v>
      </c>
      <c r="E9" s="329">
        <f>D9*$N$4*$N$6</f>
        <v>74.49239999999999</v>
      </c>
      <c r="F9" s="207">
        <v>0.038</v>
      </c>
      <c r="G9" s="5">
        <f aca="true" t="shared" si="0" ref="G9:G16">E9*(1+F9)</f>
        <v>77.32311119999999</v>
      </c>
      <c r="H9" s="325">
        <f>G9*'Greenhouse Emission Factors'!$E$12*1000</f>
        <v>185575.46687999996</v>
      </c>
      <c r="I9" s="330"/>
      <c r="J9" s="330"/>
      <c r="K9" s="340"/>
      <c r="L9" s="341" t="s">
        <v>465</v>
      </c>
      <c r="M9" s="342"/>
      <c r="N9" s="343">
        <v>0.1</v>
      </c>
      <c r="P9" s="48"/>
      <c r="Q9" s="31"/>
      <c r="R9" s="5"/>
      <c r="S9" s="31"/>
      <c r="T9" s="5"/>
      <c r="U9" s="31"/>
      <c r="V9" s="5"/>
    </row>
    <row r="10" spans="1:22" s="182" customFormat="1" ht="12.75">
      <c r="A10" s="327" t="s">
        <v>811</v>
      </c>
      <c r="B10" s="327"/>
      <c r="C10" s="327" t="s">
        <v>809</v>
      </c>
      <c r="D10" s="339">
        <v>1472</v>
      </c>
      <c r="E10" s="329">
        <f>D10*$N$4*$N$6</f>
        <v>40.6272</v>
      </c>
      <c r="F10" s="207">
        <v>0.038</v>
      </c>
      <c r="G10" s="5">
        <f t="shared" si="0"/>
        <v>42.1710336</v>
      </c>
      <c r="H10" s="325">
        <f>G10*'Greenhouse Emission Factors'!$E$14*1000</f>
        <v>113861.79072000002</v>
      </c>
      <c r="I10" s="330"/>
      <c r="J10" s="330"/>
      <c r="K10" s="340"/>
      <c r="L10" s="344" t="s">
        <v>464</v>
      </c>
      <c r="M10" s="345"/>
      <c r="N10" s="346">
        <v>0.15</v>
      </c>
      <c r="P10" s="48"/>
      <c r="Q10" s="31"/>
      <c r="R10" s="5"/>
      <c r="S10" s="31"/>
      <c r="T10" s="5"/>
      <c r="U10" s="31"/>
      <c r="V10" s="5"/>
    </row>
    <row r="11" spans="1:22" s="182" customFormat="1" ht="12.75">
      <c r="A11" s="327" t="s">
        <v>813</v>
      </c>
      <c r="B11" s="327"/>
      <c r="C11" s="327" t="s">
        <v>809</v>
      </c>
      <c r="D11" s="339">
        <v>313</v>
      </c>
      <c r="E11" s="329">
        <f>D11*$N$4*$N$6</f>
        <v>8.638800000000002</v>
      </c>
      <c r="F11" s="207">
        <v>0.038</v>
      </c>
      <c r="G11" s="5">
        <f t="shared" si="0"/>
        <v>8.967074400000001</v>
      </c>
      <c r="H11" s="325">
        <f>G11*'Greenhouse Emission Factors'!$E$19*1000</f>
        <v>14347.319040000002</v>
      </c>
      <c r="I11" s="330"/>
      <c r="J11" s="330"/>
      <c r="K11" s="340"/>
      <c r="L11" s="332" t="s">
        <v>817</v>
      </c>
      <c r="N11" s="11">
        <v>0.2</v>
      </c>
      <c r="O11" s="182" t="s">
        <v>818</v>
      </c>
      <c r="P11" s="48"/>
      <c r="Q11" s="31"/>
      <c r="R11" s="5"/>
      <c r="S11" s="31"/>
      <c r="T11" s="5"/>
      <c r="U11" s="31"/>
      <c r="V11" s="5"/>
    </row>
    <row r="12" spans="1:22" s="182" customFormat="1" ht="12.75">
      <c r="A12" s="347" t="s">
        <v>819</v>
      </c>
      <c r="B12" s="348">
        <v>0.367</v>
      </c>
      <c r="C12" s="348">
        <v>7671</v>
      </c>
      <c r="D12" s="349">
        <v>2234</v>
      </c>
      <c r="E12" s="329">
        <f>C12*$N$7/100</f>
        <v>129.55466666666666</v>
      </c>
      <c r="F12" s="207">
        <v>0.029</v>
      </c>
      <c r="G12" s="5">
        <f t="shared" si="0"/>
        <v>133.31175199999998</v>
      </c>
      <c r="H12" s="325">
        <f>G12*'Greenhouse Emission Factors'!$E$19*1000</f>
        <v>213298.8032</v>
      </c>
      <c r="I12" s="337">
        <v>1.2</v>
      </c>
      <c r="J12" s="337">
        <f>I12*0.7</f>
        <v>0.84</v>
      </c>
      <c r="K12" s="325">
        <f>J12*B12*$N$4*$N$11*'Greenhouse Emission Factors'!$D$79*1000</f>
        <v>73740.576</v>
      </c>
      <c r="L12" s="350" t="s">
        <v>820</v>
      </c>
      <c r="M12" s="342"/>
      <c r="P12" s="48" t="s">
        <v>432</v>
      </c>
      <c r="Q12" s="31">
        <v>36</v>
      </c>
      <c r="R12" s="5">
        <v>1</v>
      </c>
      <c r="S12" s="31">
        <v>79</v>
      </c>
      <c r="T12" s="5">
        <v>13.6</v>
      </c>
      <c r="U12" s="31">
        <v>10</v>
      </c>
      <c r="V12" s="5">
        <v>1.9</v>
      </c>
    </row>
    <row r="13" spans="1:22" s="182" customFormat="1" ht="12.75">
      <c r="A13" s="347" t="s">
        <v>821</v>
      </c>
      <c r="B13" s="348">
        <v>0.069</v>
      </c>
      <c r="C13" s="348">
        <v>6308</v>
      </c>
      <c r="D13" s="2">
        <v>3452</v>
      </c>
      <c r="E13" s="329">
        <f>C13*$N$8/100</f>
        <v>53.26755555555555</v>
      </c>
      <c r="F13" s="207">
        <v>0.029</v>
      </c>
      <c r="G13" s="5">
        <f t="shared" si="0"/>
        <v>54.81231466666666</v>
      </c>
      <c r="H13" s="325">
        <f>G13*'Greenhouse Emission Factors'!$E$19*1000</f>
        <v>87699.70346666666</v>
      </c>
      <c r="I13" s="337">
        <v>1.2</v>
      </c>
      <c r="J13" s="337">
        <f>I13*0.7</f>
        <v>0.84</v>
      </c>
      <c r="K13" s="325">
        <f>J13*B13*$N$4*$N$11*'Greenhouse Emission Factors'!$D$79*1000</f>
        <v>13864.032000000003</v>
      </c>
      <c r="L13"/>
      <c r="N13"/>
      <c r="P13" s="48" t="s">
        <v>433</v>
      </c>
      <c r="Q13" s="31">
        <v>18</v>
      </c>
      <c r="R13" s="5">
        <v>0.5</v>
      </c>
      <c r="S13" s="31">
        <v>17</v>
      </c>
      <c r="T13" s="5">
        <v>2.9</v>
      </c>
      <c r="U13" s="31">
        <v>5</v>
      </c>
      <c r="V13" s="5">
        <v>0.9</v>
      </c>
    </row>
    <row r="14" spans="1:22" ht="12.75">
      <c r="A14" s="347" t="s">
        <v>822</v>
      </c>
      <c r="B14" s="348">
        <v>0.02</v>
      </c>
      <c r="C14" s="348">
        <v>286</v>
      </c>
      <c r="D14" s="339">
        <v>65</v>
      </c>
      <c r="E14" s="5">
        <f>C14*$N$7/100</f>
        <v>4.830222222222222</v>
      </c>
      <c r="F14" s="207">
        <v>0.019</v>
      </c>
      <c r="G14" s="5">
        <f t="shared" si="0"/>
        <v>4.921996444444444</v>
      </c>
      <c r="H14" s="325">
        <f>G14*'Greenhouse Emission Factors'!$E$19*1000</f>
        <v>7875.19431111111</v>
      </c>
      <c r="I14" s="337">
        <v>1.2</v>
      </c>
      <c r="J14" s="337">
        <f>I14*0.7</f>
        <v>0.84</v>
      </c>
      <c r="K14" s="325">
        <f>J14*B14*$N$4*$N$11*'Greenhouse Emission Factors'!$D$79*1000</f>
        <v>4018.56</v>
      </c>
      <c r="P14" s="48" t="s">
        <v>434</v>
      </c>
      <c r="Q14" s="31">
        <v>24</v>
      </c>
      <c r="R14" s="5">
        <v>0.7</v>
      </c>
      <c r="S14" s="31">
        <v>1</v>
      </c>
      <c r="T14" s="5">
        <v>0.2</v>
      </c>
      <c r="U14" s="31">
        <v>5</v>
      </c>
      <c r="V14" s="5">
        <v>9</v>
      </c>
    </row>
    <row r="15" spans="1:22" ht="12.75">
      <c r="A15" s="43" t="s">
        <v>823</v>
      </c>
      <c r="B15" s="348">
        <v>0.062</v>
      </c>
      <c r="C15" s="348">
        <v>1856</v>
      </c>
      <c r="D15" s="2">
        <v>506</v>
      </c>
      <c r="E15" s="329">
        <f>D15*$N$4*$N$6</f>
        <v>13.9656</v>
      </c>
      <c r="F15" s="207">
        <v>0.018</v>
      </c>
      <c r="G15" s="5">
        <f t="shared" si="0"/>
        <v>14.2169808</v>
      </c>
      <c r="H15" s="325">
        <f>G15*'Greenhouse Emission Factors'!$E$19*1000</f>
        <v>22747.169280000002</v>
      </c>
      <c r="I15" s="337">
        <v>10</v>
      </c>
      <c r="J15" s="337">
        <f>I15*0.7</f>
        <v>7</v>
      </c>
      <c r="K15" s="325">
        <f>J15*B15*$N$4*$N$11*'Greenhouse Emission Factors'!$D$79*1000</f>
        <v>103812.8</v>
      </c>
      <c r="P15" t="s">
        <v>169</v>
      </c>
      <c r="Q15" s="31">
        <v>3459</v>
      </c>
      <c r="R15" s="5">
        <v>97.1</v>
      </c>
      <c r="S15" s="31">
        <v>479</v>
      </c>
      <c r="T15" s="5">
        <v>82.8</v>
      </c>
      <c r="U15" s="31">
        <v>520</v>
      </c>
      <c r="V15" s="5">
        <v>98.5</v>
      </c>
    </row>
    <row r="16" spans="1:11" ht="13.5" thickBot="1">
      <c r="A16" s="43" t="s">
        <v>824</v>
      </c>
      <c r="B16" s="43"/>
      <c r="C16" s="327" t="s">
        <v>809</v>
      </c>
      <c r="D16" s="2">
        <v>83</v>
      </c>
      <c r="E16" s="5">
        <v>0</v>
      </c>
      <c r="F16" s="207">
        <v>0.057</v>
      </c>
      <c r="G16" s="5">
        <f t="shared" si="0"/>
        <v>0</v>
      </c>
      <c r="H16" s="322" t="s">
        <v>809</v>
      </c>
      <c r="I16" s="330" t="s">
        <v>809</v>
      </c>
      <c r="J16" s="330"/>
      <c r="K16" s="333"/>
    </row>
    <row r="17" spans="1:11" ht="13.5" thickBot="1">
      <c r="A17" s="351" t="s">
        <v>251</v>
      </c>
      <c r="B17" s="351"/>
      <c r="C17" s="352"/>
      <c r="D17" s="352">
        <f>SUM(D5:D7)+SUM(D9:D15)</f>
        <v>28885</v>
      </c>
      <c r="E17" s="352">
        <f>SUM(E5:E16)</f>
        <v>826.1508444444444</v>
      </c>
      <c r="F17" s="353"/>
      <c r="G17" s="352">
        <f>SUM(G5:G16)</f>
        <v>849.518797511111</v>
      </c>
      <c r="H17" s="354">
        <f>SUM(H5:H15)</f>
        <v>1860352.2525777777</v>
      </c>
      <c r="I17" s="355"/>
      <c r="J17" s="356"/>
      <c r="K17" s="354">
        <f>SUM(K4:K16)</f>
        <v>1751073.168</v>
      </c>
    </row>
    <row r="18" spans="1:13" ht="12.75">
      <c r="A18" s="471" t="s">
        <v>825</v>
      </c>
      <c r="B18" s="472"/>
      <c r="C18" s="44">
        <f>E17/D17</f>
        <v>0.028601379416459904</v>
      </c>
      <c r="D18" s="86"/>
      <c r="E18" s="86"/>
      <c r="F18" s="272"/>
      <c r="G18" s="86"/>
      <c r="H18" s="359"/>
      <c r="I18" s="360"/>
      <c r="J18" s="324"/>
      <c r="K18" s="357"/>
      <c r="L18" s="358"/>
      <c r="M18" s="44"/>
    </row>
    <row r="19" spans="1:13" ht="12.75">
      <c r="A19" s="361"/>
      <c r="B19" s="361"/>
      <c r="C19" s="86"/>
      <c r="D19" s="86"/>
      <c r="E19" s="86"/>
      <c r="F19" s="272"/>
      <c r="G19" s="86"/>
      <c r="H19" s="359"/>
      <c r="I19" s="360"/>
      <c r="J19" s="324"/>
      <c r="K19" s="357"/>
      <c r="L19" s="358"/>
      <c r="M19" s="44"/>
    </row>
    <row r="20" spans="1:13" ht="12.75">
      <c r="A20" s="361"/>
      <c r="B20" s="361"/>
      <c r="C20" s="86"/>
      <c r="D20" s="86"/>
      <c r="E20" s="86"/>
      <c r="F20" s="272"/>
      <c r="G20" s="86"/>
      <c r="H20" s="359"/>
      <c r="I20" s="360"/>
      <c r="J20" s="324"/>
      <c r="K20" s="357"/>
      <c r="L20" s="358"/>
      <c r="M20" s="44"/>
    </row>
    <row r="21" spans="1:11" ht="15.75">
      <c r="A21" s="177" t="s">
        <v>435</v>
      </c>
      <c r="C21" s="178"/>
      <c r="D21" s="178"/>
      <c r="E21" s="178"/>
      <c r="G21" s="178"/>
      <c r="H21" s="178"/>
      <c r="I21" s="178"/>
      <c r="J21" s="178"/>
      <c r="K21" s="178"/>
    </row>
    <row r="22" spans="1:11" ht="12.75">
      <c r="A22" s="174"/>
      <c r="B22" s="198">
        <v>1984</v>
      </c>
      <c r="C22" s="198">
        <v>1995</v>
      </c>
      <c r="D22" s="198">
        <v>1998</v>
      </c>
      <c r="E22" s="198">
        <v>1999</v>
      </c>
      <c r="F22" s="198">
        <v>2000</v>
      </c>
      <c r="G22" s="198">
        <v>2001</v>
      </c>
      <c r="H22" s="198">
        <v>2002</v>
      </c>
      <c r="I22" s="198">
        <v>2003</v>
      </c>
      <c r="J22" s="198">
        <v>2004</v>
      </c>
      <c r="K22" s="362"/>
    </row>
    <row r="23" spans="1:11" ht="12.75">
      <c r="A23" t="s">
        <v>436</v>
      </c>
      <c r="B23" s="31">
        <v>6636200</v>
      </c>
      <c r="C23" s="31">
        <v>8628806</v>
      </c>
      <c r="D23" s="31">
        <v>9336395</v>
      </c>
      <c r="E23" s="31">
        <v>9686223</v>
      </c>
      <c r="F23" s="31">
        <v>9711320</v>
      </c>
      <c r="G23" s="31">
        <v>9861807</v>
      </c>
      <c r="H23" s="31">
        <v>10194637</v>
      </c>
      <c r="I23" s="31">
        <v>10365941</v>
      </c>
      <c r="J23" s="31">
        <v>10654328</v>
      </c>
      <c r="K23" s="2"/>
    </row>
    <row r="24" spans="1:11" ht="12.75">
      <c r="A24" t="s">
        <v>430</v>
      </c>
      <c r="B24" s="31">
        <v>1121000</v>
      </c>
      <c r="C24" s="31">
        <v>1527212</v>
      </c>
      <c r="D24" s="31">
        <v>1531748</v>
      </c>
      <c r="E24" s="31">
        <v>1721200</v>
      </c>
      <c r="F24" s="31">
        <v>1696631</v>
      </c>
      <c r="G24" s="31">
        <v>1719654</v>
      </c>
      <c r="H24" s="31">
        <v>1810071</v>
      </c>
      <c r="I24" s="31">
        <v>1879755</v>
      </c>
      <c r="J24" s="2">
        <v>1940180</v>
      </c>
      <c r="K24" s="2"/>
    </row>
    <row r="25" spans="1:11" ht="12.75">
      <c r="A25" s="179" t="s">
        <v>437</v>
      </c>
      <c r="B25" s="180">
        <v>520600</v>
      </c>
      <c r="C25" s="180">
        <v>337421</v>
      </c>
      <c r="D25" s="180">
        <v>339021</v>
      </c>
      <c r="E25" s="180">
        <v>346823</v>
      </c>
      <c r="F25" s="180">
        <v>346628</v>
      </c>
      <c r="G25" s="180">
        <v>332102</v>
      </c>
      <c r="H25" s="180">
        <v>341651</v>
      </c>
      <c r="I25" s="180">
        <v>348673</v>
      </c>
      <c r="J25" s="181">
        <v>358704</v>
      </c>
      <c r="K25" s="181"/>
    </row>
    <row r="26" spans="1:11" ht="12.75">
      <c r="A26" s="179" t="s">
        <v>438</v>
      </c>
      <c r="B26" s="180">
        <v>49100</v>
      </c>
      <c r="C26" s="180">
        <v>58322</v>
      </c>
      <c r="D26" s="180">
        <v>58858</v>
      </c>
      <c r="E26" s="180">
        <v>63295</v>
      </c>
      <c r="F26" s="180">
        <v>61117</v>
      </c>
      <c r="G26" s="180">
        <v>61502</v>
      </c>
      <c r="H26" s="180">
        <v>61519</v>
      </c>
      <c r="I26" s="180">
        <v>64261</v>
      </c>
      <c r="J26" s="181">
        <v>66197</v>
      </c>
      <c r="K26" s="181"/>
    </row>
    <row r="27" spans="1:11" ht="12.75">
      <c r="A27" s="179" t="s">
        <v>439</v>
      </c>
      <c r="B27" s="180">
        <v>47200</v>
      </c>
      <c r="C27" s="180">
        <v>46971</v>
      </c>
      <c r="D27" s="180">
        <v>17614</v>
      </c>
      <c r="E27" s="180">
        <v>17697</v>
      </c>
      <c r="F27" s="180">
        <v>18714</v>
      </c>
      <c r="G27" s="180">
        <v>18980</v>
      </c>
      <c r="H27" s="180">
        <v>17504</v>
      </c>
      <c r="I27" s="180">
        <v>18599</v>
      </c>
      <c r="J27" s="181">
        <v>17616</v>
      </c>
      <c r="K27" s="181"/>
    </row>
    <row r="28" spans="1:11" ht="12.75">
      <c r="A28" t="s">
        <v>440</v>
      </c>
      <c r="B28" s="31">
        <v>616900</v>
      </c>
      <c r="C28" s="31">
        <v>442714</v>
      </c>
      <c r="D28" s="31">
        <v>415493</v>
      </c>
      <c r="E28" s="31">
        <v>427815</v>
      </c>
      <c r="F28" s="31">
        <v>426459</v>
      </c>
      <c r="G28" s="31">
        <v>412584</v>
      </c>
      <c r="H28" s="31">
        <v>420674</v>
      </c>
      <c r="I28" s="31">
        <v>431533</v>
      </c>
      <c r="J28" s="31">
        <v>442517</v>
      </c>
      <c r="K28" s="31"/>
    </row>
    <row r="29" spans="1:11" ht="12.75">
      <c r="A29" s="43" t="s">
        <v>433</v>
      </c>
      <c r="B29" s="31">
        <v>60500</v>
      </c>
      <c r="C29" s="31">
        <v>52170</v>
      </c>
      <c r="D29" s="31">
        <v>53298</v>
      </c>
      <c r="E29" s="31">
        <v>65891</v>
      </c>
      <c r="F29" s="31">
        <v>55805</v>
      </c>
      <c r="G29" s="31">
        <v>55078</v>
      </c>
      <c r="H29" s="31">
        <v>56754</v>
      </c>
      <c r="I29" s="31">
        <v>70122</v>
      </c>
      <c r="J29" s="2">
        <v>61728</v>
      </c>
      <c r="K29" s="2"/>
    </row>
    <row r="30" spans="1:11" ht="12.75">
      <c r="A30" s="43" t="s">
        <v>434</v>
      </c>
      <c r="B30" s="31">
        <v>398400</v>
      </c>
      <c r="C30" s="31">
        <v>296628</v>
      </c>
      <c r="D30" s="31">
        <v>307954</v>
      </c>
      <c r="E30" s="31">
        <v>33782</v>
      </c>
      <c r="F30" s="31">
        <v>337793</v>
      </c>
      <c r="G30" s="31">
        <v>349465</v>
      </c>
      <c r="H30" s="31">
        <v>367258</v>
      </c>
      <c r="I30" s="31">
        <v>377271</v>
      </c>
      <c r="J30" s="2">
        <v>392648</v>
      </c>
      <c r="K30" s="2"/>
    </row>
    <row r="31" spans="1:11" ht="12.75">
      <c r="A31" s="183" t="s">
        <v>251</v>
      </c>
      <c r="B31" s="175">
        <v>8832800</v>
      </c>
      <c r="C31" s="175">
        <v>10947530</v>
      </c>
      <c r="D31" s="175">
        <v>11644888</v>
      </c>
      <c r="E31" s="175">
        <v>11934911</v>
      </c>
      <c r="F31" s="175">
        <v>12228008</v>
      </c>
      <c r="G31" s="175">
        <v>12398588</v>
      </c>
      <c r="H31" s="175">
        <v>12849393</v>
      </c>
      <c r="I31" s="175">
        <v>13124622</v>
      </c>
      <c r="J31" s="175">
        <v>13491401</v>
      </c>
      <c r="K31" s="86"/>
    </row>
    <row r="32" spans="1:11" ht="15.75">
      <c r="A32" s="184" t="s">
        <v>441</v>
      </c>
      <c r="C32" s="185"/>
      <c r="D32" s="185"/>
      <c r="E32" s="185"/>
      <c r="F32" s="185"/>
      <c r="G32" s="185"/>
      <c r="H32" s="185"/>
      <c r="I32" s="185"/>
      <c r="J32" s="185"/>
      <c r="K32" s="185"/>
    </row>
    <row r="33" spans="1:11" ht="12.75">
      <c r="A33" s="186" t="s">
        <v>7</v>
      </c>
      <c r="B33" s="187" t="s">
        <v>163</v>
      </c>
      <c r="C33" s="187" t="s">
        <v>442</v>
      </c>
      <c r="D33" s="187" t="s">
        <v>209</v>
      </c>
      <c r="E33" s="188" t="s">
        <v>166</v>
      </c>
      <c r="F33" s="188" t="s">
        <v>168</v>
      </c>
      <c r="G33" s="188" t="s">
        <v>443</v>
      </c>
      <c r="H33" s="188" t="s">
        <v>167</v>
      </c>
      <c r="I33" s="188" t="s">
        <v>444</v>
      </c>
      <c r="J33" s="188" t="s">
        <v>445</v>
      </c>
      <c r="K33" s="363"/>
    </row>
    <row r="34" spans="1:11" ht="12.75">
      <c r="A34" s="189">
        <v>2004</v>
      </c>
      <c r="B34" s="191">
        <v>4063.64</v>
      </c>
      <c r="C34" s="98">
        <v>3565.15</v>
      </c>
      <c r="D34" s="98">
        <v>2656.044</v>
      </c>
      <c r="E34" s="98">
        <v>1095.923</v>
      </c>
      <c r="F34" s="98">
        <v>1480.206</v>
      </c>
      <c r="G34" s="98">
        <v>350.403</v>
      </c>
      <c r="H34" s="98">
        <v>106.016</v>
      </c>
      <c r="I34" s="98">
        <v>215.689</v>
      </c>
      <c r="J34" s="98">
        <v>13533.071</v>
      </c>
      <c r="K34" s="98"/>
    </row>
    <row r="35" spans="1:11" ht="12.75">
      <c r="A35" s="189">
        <v>2003</v>
      </c>
      <c r="B35" s="191">
        <v>3944.85</v>
      </c>
      <c r="C35" s="98">
        <v>3494.314</v>
      </c>
      <c r="D35" s="98">
        <v>2552.061</v>
      </c>
      <c r="E35" s="98">
        <v>1077.154</v>
      </c>
      <c r="F35" s="98">
        <v>1438.441</v>
      </c>
      <c r="G35" s="98">
        <v>338.484</v>
      </c>
      <c r="H35" s="98">
        <v>104.259</v>
      </c>
      <c r="I35" s="98">
        <v>213.396</v>
      </c>
      <c r="J35" s="98">
        <v>13162.959</v>
      </c>
      <c r="K35" s="98"/>
    </row>
    <row r="36" spans="1:11" ht="12.75">
      <c r="A36" s="189">
        <v>2002</v>
      </c>
      <c r="B36" s="191">
        <v>3847.132</v>
      </c>
      <c r="C36" s="191">
        <v>3413.708</v>
      </c>
      <c r="D36" s="194">
        <v>2445.5240000000003</v>
      </c>
      <c r="E36" s="194">
        <v>1063.058</v>
      </c>
      <c r="F36" s="191">
        <v>1405.676</v>
      </c>
      <c r="G36" s="191">
        <v>335.057</v>
      </c>
      <c r="H36" s="191">
        <v>103.795</v>
      </c>
      <c r="I36" s="191">
        <v>208.01100000000002</v>
      </c>
      <c r="J36" s="98">
        <v>12821.961</v>
      </c>
      <c r="K36" s="98"/>
    </row>
    <row r="37" spans="1:11" ht="12.75">
      <c r="A37" s="189">
        <v>2001</v>
      </c>
      <c r="B37" s="191">
        <v>3745.5370000000003</v>
      </c>
      <c r="C37" s="191">
        <v>3317.682</v>
      </c>
      <c r="D37" s="194">
        <v>2354.352</v>
      </c>
      <c r="E37" s="194">
        <v>1050.567</v>
      </c>
      <c r="F37" s="191">
        <v>1371.341</v>
      </c>
      <c r="G37" s="191">
        <v>331.073</v>
      </c>
      <c r="H37" s="191">
        <v>102.824</v>
      </c>
      <c r="I37" s="191">
        <v>203.39100000000002</v>
      </c>
      <c r="J37" s="98">
        <v>12476.767</v>
      </c>
      <c r="K37" s="98"/>
    </row>
    <row r="38" spans="1:11" ht="12.75">
      <c r="A38" s="189">
        <v>2000</v>
      </c>
      <c r="B38" s="193" t="s">
        <v>13</v>
      </c>
      <c r="C38" s="193" t="s">
        <v>13</v>
      </c>
      <c r="D38" s="193" t="s">
        <v>13</v>
      </c>
      <c r="E38" s="193" t="s">
        <v>13</v>
      </c>
      <c r="F38" s="193" t="s">
        <v>13</v>
      </c>
      <c r="G38" s="193" t="s">
        <v>13</v>
      </c>
      <c r="H38" s="193" t="s">
        <v>13</v>
      </c>
      <c r="I38" s="193" t="s">
        <v>13</v>
      </c>
      <c r="J38" s="193" t="s">
        <v>13</v>
      </c>
      <c r="K38" s="193"/>
    </row>
    <row r="39" spans="1:11" ht="12.75">
      <c r="A39" s="189">
        <v>1999</v>
      </c>
      <c r="B39" s="191">
        <v>3679.333</v>
      </c>
      <c r="C39" s="191">
        <v>3266.492</v>
      </c>
      <c r="D39" s="191">
        <v>2315.634</v>
      </c>
      <c r="E39" s="191">
        <v>1032.536</v>
      </c>
      <c r="F39" s="191">
        <v>1344.809</v>
      </c>
      <c r="G39" s="191">
        <v>329.56800000000004</v>
      </c>
      <c r="H39" s="191">
        <v>103.174</v>
      </c>
      <c r="I39" s="191">
        <v>197.033</v>
      </c>
      <c r="J39" s="191">
        <v>12268.579</v>
      </c>
      <c r="K39" s="191"/>
    </row>
    <row r="40" spans="1:11" ht="12.75">
      <c r="A40" s="189">
        <v>1998</v>
      </c>
      <c r="B40" s="191">
        <v>3682.636</v>
      </c>
      <c r="C40" s="191">
        <v>3177.39</v>
      </c>
      <c r="D40" s="191">
        <v>2228.844</v>
      </c>
      <c r="E40" s="191">
        <v>1031.06</v>
      </c>
      <c r="F40" s="191">
        <v>1327.2030000000002</v>
      </c>
      <c r="G40" s="191">
        <v>322.695</v>
      </c>
      <c r="H40" s="191">
        <v>102.195</v>
      </c>
      <c r="I40" s="191">
        <v>194.834</v>
      </c>
      <c r="J40" s="191">
        <v>12066.857</v>
      </c>
      <c r="K40" s="191"/>
    </row>
    <row r="41" spans="1:11" ht="12.75">
      <c r="A41" s="189">
        <v>1997</v>
      </c>
      <c r="B41" s="191">
        <v>3530.148</v>
      </c>
      <c r="C41" s="191">
        <v>3118.967</v>
      </c>
      <c r="D41" s="191">
        <v>2132.1569999999997</v>
      </c>
      <c r="E41" s="191">
        <v>992.211</v>
      </c>
      <c r="F41" s="191">
        <v>1269.581</v>
      </c>
      <c r="G41" s="191">
        <v>324.983</v>
      </c>
      <c r="H41" s="191">
        <v>99.107</v>
      </c>
      <c r="I41" s="191">
        <v>197.238</v>
      </c>
      <c r="J41" s="191">
        <v>11664.393</v>
      </c>
      <c r="K41" s="191"/>
    </row>
    <row r="42" spans="1:11" ht="12.75">
      <c r="A42" s="189">
        <v>1996</v>
      </c>
      <c r="B42" s="191">
        <v>3448.9</v>
      </c>
      <c r="C42" s="191">
        <v>3050.2</v>
      </c>
      <c r="D42" s="191">
        <v>2082</v>
      </c>
      <c r="E42" s="191">
        <v>984.5</v>
      </c>
      <c r="F42" s="191">
        <v>1225</v>
      </c>
      <c r="G42" s="191">
        <v>325.5</v>
      </c>
      <c r="H42" s="192">
        <v>96.191</v>
      </c>
      <c r="I42" s="191">
        <v>188.8</v>
      </c>
      <c r="J42" s="191">
        <v>11401.1</v>
      </c>
      <c r="K42" s="191"/>
    </row>
    <row r="43" spans="1:11" ht="12.75">
      <c r="A43" s="189">
        <v>1995</v>
      </c>
      <c r="B43" s="191">
        <v>3332.4610000000002</v>
      </c>
      <c r="C43" s="191">
        <v>2869.88</v>
      </c>
      <c r="D43" s="191">
        <v>2012.88</v>
      </c>
      <c r="E43" s="191">
        <v>962.8240000000001</v>
      </c>
      <c r="F43" s="191">
        <v>1175.4869999999999</v>
      </c>
      <c r="G43" s="191">
        <v>319.87300000000005</v>
      </c>
      <c r="H43" s="191">
        <v>90.37</v>
      </c>
      <c r="I43" s="191">
        <v>183.755</v>
      </c>
      <c r="J43" s="191">
        <v>10947.53</v>
      </c>
      <c r="K43" s="191"/>
    </row>
    <row r="44" spans="1:11" ht="12.75">
      <c r="A44" s="189">
        <v>1994</v>
      </c>
      <c r="B44" s="191">
        <v>3262.5</v>
      </c>
      <c r="C44" s="191">
        <v>2808.1</v>
      </c>
      <c r="D44" s="191">
        <v>1975.1</v>
      </c>
      <c r="E44" s="191">
        <v>920.2</v>
      </c>
      <c r="F44" s="191">
        <v>1142.4</v>
      </c>
      <c r="G44" s="191">
        <v>316.1</v>
      </c>
      <c r="H44" s="191">
        <v>91.9</v>
      </c>
      <c r="I44" s="191">
        <v>182.8</v>
      </c>
      <c r="J44" s="191">
        <v>10699.2</v>
      </c>
      <c r="K44" s="191"/>
    </row>
    <row r="45" spans="1:11" ht="12.75">
      <c r="A45" s="189">
        <v>1993</v>
      </c>
      <c r="B45" s="191">
        <v>3235</v>
      </c>
      <c r="C45" s="191">
        <v>2718.4</v>
      </c>
      <c r="D45" s="191">
        <v>1894.9</v>
      </c>
      <c r="E45" s="191">
        <v>904.6</v>
      </c>
      <c r="F45" s="191">
        <v>1111</v>
      </c>
      <c r="G45" s="191">
        <v>310.7</v>
      </c>
      <c r="H45" s="191">
        <v>83.7</v>
      </c>
      <c r="I45" s="191">
        <v>173.1</v>
      </c>
      <c r="J45" s="191">
        <v>10431.5</v>
      </c>
      <c r="K45" s="191"/>
    </row>
    <row r="46" spans="1:11" ht="12.75">
      <c r="A46" s="189">
        <v>1992</v>
      </c>
      <c r="B46" s="191">
        <v>3207.8</v>
      </c>
      <c r="C46" s="191">
        <v>2684.8</v>
      </c>
      <c r="D46" s="191">
        <v>1832.8</v>
      </c>
      <c r="E46" s="191">
        <v>889.5</v>
      </c>
      <c r="F46" s="191">
        <v>1081.8</v>
      </c>
      <c r="G46" s="191">
        <v>304.1</v>
      </c>
      <c r="H46" s="191">
        <v>80.8</v>
      </c>
      <c r="I46" s="191">
        <v>165.2</v>
      </c>
      <c r="J46" s="191">
        <v>10246.9</v>
      </c>
      <c r="K46" s="191"/>
    </row>
    <row r="47" spans="1:11" ht="12.75">
      <c r="A47" s="189">
        <v>1991</v>
      </c>
      <c r="B47" s="191">
        <v>3058.8</v>
      </c>
      <c r="C47" s="191">
        <v>2775.2</v>
      </c>
      <c r="D47" s="191">
        <v>1643.3</v>
      </c>
      <c r="E47" s="191">
        <v>857.8</v>
      </c>
      <c r="F47" s="191">
        <v>1062.9</v>
      </c>
      <c r="G47" s="191">
        <v>298.2</v>
      </c>
      <c r="H47" s="191">
        <v>75.2</v>
      </c>
      <c r="I47" s="191">
        <v>156.7</v>
      </c>
      <c r="J47" s="191">
        <v>9934.1</v>
      </c>
      <c r="K47" s="191"/>
    </row>
    <row r="48" spans="1:11" ht="12.75">
      <c r="A48" s="189">
        <v>1990</v>
      </c>
      <c r="B48" s="191">
        <v>3223.8</v>
      </c>
      <c r="C48" s="191">
        <v>2652.2</v>
      </c>
      <c r="D48" s="191">
        <v>1751.9</v>
      </c>
      <c r="E48" s="191">
        <v>883.5</v>
      </c>
      <c r="F48" s="191">
        <v>1037.6</v>
      </c>
      <c r="G48" s="191">
        <v>294.1</v>
      </c>
      <c r="H48" s="191">
        <v>79.5</v>
      </c>
      <c r="I48" s="191">
        <v>158.1</v>
      </c>
      <c r="J48" s="191">
        <v>10080.6</v>
      </c>
      <c r="K48" s="191"/>
    </row>
    <row r="49" spans="1:11" ht="12.75">
      <c r="A49" s="189">
        <v>1989</v>
      </c>
      <c r="B49" s="191">
        <v>3171.4</v>
      </c>
      <c r="C49" s="191">
        <v>2585.2</v>
      </c>
      <c r="D49" s="191">
        <v>1693.4</v>
      </c>
      <c r="E49" s="191">
        <v>862.6</v>
      </c>
      <c r="F49" s="191">
        <v>986.3</v>
      </c>
      <c r="G49" s="191">
        <v>284.5</v>
      </c>
      <c r="H49" s="191">
        <v>76.7</v>
      </c>
      <c r="I49" s="191">
        <v>146.2</v>
      </c>
      <c r="J49" s="191">
        <v>9806.1</v>
      </c>
      <c r="K49" s="191"/>
    </row>
    <row r="50" spans="1:11" ht="12.75">
      <c r="A50" s="189">
        <v>1988</v>
      </c>
      <c r="B50" s="191">
        <v>3081.2</v>
      </c>
      <c r="C50" s="191">
        <v>2575.2</v>
      </c>
      <c r="D50" s="191">
        <v>1616.2</v>
      </c>
      <c r="E50" s="191">
        <v>846.3</v>
      </c>
      <c r="F50" s="191">
        <v>935.7</v>
      </c>
      <c r="G50" s="191">
        <v>278.1</v>
      </c>
      <c r="H50" s="191">
        <v>72.5</v>
      </c>
      <c r="I50" s="191">
        <v>139.1</v>
      </c>
      <c r="J50" s="191">
        <v>9544.4</v>
      </c>
      <c r="K50" s="191"/>
    </row>
    <row r="51" spans="1:11" ht="12.75">
      <c r="A51" s="189">
        <v>1987</v>
      </c>
      <c r="B51" s="191">
        <v>3041.8</v>
      </c>
      <c r="C51" s="191">
        <v>2529.4</v>
      </c>
      <c r="D51" s="191">
        <v>1575.3</v>
      </c>
      <c r="E51" s="191">
        <v>834.9</v>
      </c>
      <c r="F51" s="191">
        <v>906.1</v>
      </c>
      <c r="G51" s="191">
        <v>274.9</v>
      </c>
      <c r="H51" s="191">
        <v>77</v>
      </c>
      <c r="I51" s="191">
        <v>134.4</v>
      </c>
      <c r="J51" s="191">
        <v>9373.7</v>
      </c>
      <c r="K51" s="191"/>
    </row>
    <row r="52" spans="1:11" ht="12.75">
      <c r="A52" s="189">
        <v>1986</v>
      </c>
      <c r="B52" s="191">
        <v>3043.1</v>
      </c>
      <c r="C52" s="191">
        <v>2476.8</v>
      </c>
      <c r="D52" s="191">
        <v>1567.4</v>
      </c>
      <c r="E52" s="191">
        <v>835.9</v>
      </c>
      <c r="F52" s="191">
        <v>887.3</v>
      </c>
      <c r="G52" s="191">
        <v>273.2</v>
      </c>
      <c r="H52" s="191">
        <v>75.3</v>
      </c>
      <c r="I52" s="191">
        <v>131.6</v>
      </c>
      <c r="J52" s="191">
        <v>9290.5</v>
      </c>
      <c r="K52" s="191"/>
    </row>
    <row r="53" spans="1:11" ht="12.75">
      <c r="A53" s="189">
        <v>1985</v>
      </c>
      <c r="B53" s="191">
        <v>2984.9</v>
      </c>
      <c r="C53" s="191">
        <v>2437.7</v>
      </c>
      <c r="D53" s="191">
        <v>1546.1</v>
      </c>
      <c r="E53" s="191">
        <v>816.9</v>
      </c>
      <c r="F53" s="191">
        <v>866.3</v>
      </c>
      <c r="G53" s="191">
        <v>266.5</v>
      </c>
      <c r="H53" s="191">
        <v>71.8</v>
      </c>
      <c r="I53" s="191">
        <v>128.1</v>
      </c>
      <c r="J53" s="191">
        <v>9118.3</v>
      </c>
      <c r="K53" s="191"/>
    </row>
    <row r="54" spans="1:11" ht="12.75">
      <c r="A54" s="189">
        <v>1984</v>
      </c>
      <c r="B54" s="191">
        <v>2890.8</v>
      </c>
      <c r="C54" s="191">
        <v>2341.8</v>
      </c>
      <c r="D54" s="191">
        <v>1533.5</v>
      </c>
      <c r="E54" s="191">
        <v>790.2</v>
      </c>
      <c r="F54" s="191">
        <v>830</v>
      </c>
      <c r="G54" s="191">
        <v>255.9</v>
      </c>
      <c r="H54" s="191">
        <v>67</v>
      </c>
      <c r="I54" s="191">
        <v>123.6</v>
      </c>
      <c r="J54" s="190">
        <v>8832.8</v>
      </c>
      <c r="K54" s="190"/>
    </row>
    <row r="55" spans="1:11" ht="12.75">
      <c r="A55" s="189">
        <v>1983</v>
      </c>
      <c r="B55" s="191">
        <v>2835.6</v>
      </c>
      <c r="C55" s="191">
        <v>2257.7</v>
      </c>
      <c r="D55" s="191">
        <v>1496.1</v>
      </c>
      <c r="E55" s="191">
        <v>763.7</v>
      </c>
      <c r="F55" s="191">
        <v>809.3</v>
      </c>
      <c r="G55" s="191">
        <v>249.3</v>
      </c>
      <c r="H55" s="191">
        <v>61.9</v>
      </c>
      <c r="I55" s="191">
        <v>116.2</v>
      </c>
      <c r="J55" s="190">
        <v>8589.8</v>
      </c>
      <c r="K55" s="190"/>
    </row>
    <row r="56" spans="1:11" ht="12.75">
      <c r="A56" s="189">
        <v>1982</v>
      </c>
      <c r="B56" s="191">
        <v>2784.1</v>
      </c>
      <c r="C56" s="191">
        <v>2171.8</v>
      </c>
      <c r="D56" s="191">
        <v>1439.5</v>
      </c>
      <c r="E56" s="191">
        <v>744.7</v>
      </c>
      <c r="F56" s="191">
        <v>789.1</v>
      </c>
      <c r="G56" s="191">
        <v>246.6</v>
      </c>
      <c r="H56" s="191">
        <v>58.2</v>
      </c>
      <c r="I56" s="191">
        <v>112</v>
      </c>
      <c r="J56" s="190">
        <v>8346</v>
      </c>
      <c r="K56" s="190"/>
    </row>
    <row r="57" spans="1:11" ht="12.75">
      <c r="A57" s="189">
        <v>1981</v>
      </c>
      <c r="B57" s="191">
        <v>2626.9</v>
      </c>
      <c r="C57" s="191">
        <v>2035.9</v>
      </c>
      <c r="D57" s="191">
        <v>1355.9</v>
      </c>
      <c r="E57" s="191">
        <v>725.4</v>
      </c>
      <c r="F57" s="191">
        <v>773.2</v>
      </c>
      <c r="G57" s="191">
        <v>237.3</v>
      </c>
      <c r="H57" s="191">
        <v>53.6</v>
      </c>
      <c r="I57" s="191">
        <v>109.6</v>
      </c>
      <c r="J57" s="190">
        <v>7917.6</v>
      </c>
      <c r="K57" s="190"/>
    </row>
    <row r="58" spans="1:11" ht="12.75">
      <c r="A58" s="189">
        <v>1980</v>
      </c>
      <c r="B58" s="191">
        <v>2520.9</v>
      </c>
      <c r="C58" s="191">
        <v>1960.2</v>
      </c>
      <c r="D58" s="191">
        <v>1256.9</v>
      </c>
      <c r="E58" s="191">
        <v>708.6</v>
      </c>
      <c r="F58" s="191">
        <v>745</v>
      </c>
      <c r="G58" s="191">
        <v>229.5</v>
      </c>
      <c r="H58" s="191">
        <v>47</v>
      </c>
      <c r="I58" s="191">
        <v>105.5</v>
      </c>
      <c r="J58" s="190">
        <v>7573.6</v>
      </c>
      <c r="K58" s="190"/>
    </row>
    <row r="59" spans="1:11" ht="12.75">
      <c r="A59" s="189">
        <v>1979</v>
      </c>
      <c r="B59" s="191">
        <v>2413.2</v>
      </c>
      <c r="C59" s="191">
        <v>1974</v>
      </c>
      <c r="D59" s="191">
        <v>1183.4</v>
      </c>
      <c r="E59" s="191">
        <v>689.3</v>
      </c>
      <c r="F59" s="191">
        <v>719.7</v>
      </c>
      <c r="G59" s="191">
        <v>226.6</v>
      </c>
      <c r="H59" s="191">
        <v>45.6</v>
      </c>
      <c r="I59" s="191">
        <v>106.6</v>
      </c>
      <c r="J59" s="190">
        <v>7358.3</v>
      </c>
      <c r="K59" s="190"/>
    </row>
    <row r="60" spans="1:11" ht="12.75">
      <c r="A60" s="189">
        <v>1978</v>
      </c>
      <c r="B60" s="191">
        <v>2330.6</v>
      </c>
      <c r="C60" s="191">
        <v>1915.4</v>
      </c>
      <c r="D60" s="191">
        <v>1129.6</v>
      </c>
      <c r="E60" s="191">
        <v>681.3</v>
      </c>
      <c r="F60" s="191">
        <v>695.5</v>
      </c>
      <c r="G60" s="191">
        <v>218.1</v>
      </c>
      <c r="H60" s="191">
        <v>46.9</v>
      </c>
      <c r="I60" s="191">
        <v>97</v>
      </c>
      <c r="J60" s="190">
        <v>7114.5</v>
      </c>
      <c r="K60" s="190"/>
    </row>
    <row r="61" spans="1:11" ht="12.75">
      <c r="A61" s="189">
        <v>1977</v>
      </c>
      <c r="B61" s="190">
        <v>2252.5</v>
      </c>
      <c r="C61" s="190">
        <v>1829.2</v>
      </c>
      <c r="D61" s="190">
        <v>1067.2</v>
      </c>
      <c r="E61" s="190">
        <v>668</v>
      </c>
      <c r="F61" s="190">
        <v>654.9</v>
      </c>
      <c r="G61" s="190">
        <v>209.4</v>
      </c>
      <c r="H61" s="190">
        <v>38.1</v>
      </c>
      <c r="I61" s="190">
        <v>98.7</v>
      </c>
      <c r="J61" s="190">
        <v>6818</v>
      </c>
      <c r="K61" s="190"/>
    </row>
    <row r="62" spans="1:11" ht="12.75">
      <c r="A62" s="189">
        <v>1976</v>
      </c>
      <c r="B62" s="190">
        <v>2194.1</v>
      </c>
      <c r="C62" s="190">
        <v>1799.6</v>
      </c>
      <c r="D62" s="190">
        <v>1012.2</v>
      </c>
      <c r="E62" s="190">
        <v>641</v>
      </c>
      <c r="F62" s="190">
        <v>604.8</v>
      </c>
      <c r="G62" s="190">
        <v>202.8</v>
      </c>
      <c r="H62" s="190">
        <v>34.1</v>
      </c>
      <c r="I62" s="190">
        <v>92.2</v>
      </c>
      <c r="J62" s="190">
        <v>6580.9</v>
      </c>
      <c r="K62" s="190"/>
    </row>
    <row r="63" spans="1:11" ht="12.75">
      <c r="A63" s="189">
        <v>1975</v>
      </c>
      <c r="B63" s="190">
        <v>2148.8</v>
      </c>
      <c r="C63" s="190">
        <v>1715.9</v>
      </c>
      <c r="D63" s="190">
        <v>918</v>
      </c>
      <c r="E63" s="190">
        <v>617.3</v>
      </c>
      <c r="F63" s="190">
        <v>564.4</v>
      </c>
      <c r="G63" s="190">
        <v>194.3</v>
      </c>
      <c r="H63" s="190">
        <v>31.8</v>
      </c>
      <c r="I63" s="190">
        <v>85.9</v>
      </c>
      <c r="J63" s="190">
        <v>6276.4</v>
      </c>
      <c r="K63" s="190"/>
    </row>
    <row r="64" spans="1:11" ht="12.75">
      <c r="A64" s="189">
        <v>1974</v>
      </c>
      <c r="B64" s="190">
        <v>2043</v>
      </c>
      <c r="C64" s="190">
        <v>1620.4</v>
      </c>
      <c r="D64" s="190">
        <v>889.7</v>
      </c>
      <c r="E64" s="190">
        <v>577.6</v>
      </c>
      <c r="F64" s="190">
        <v>523</v>
      </c>
      <c r="G64" s="190">
        <v>182.6</v>
      </c>
      <c r="H64" s="190">
        <v>36.7</v>
      </c>
      <c r="I64" s="190">
        <v>79.7</v>
      </c>
      <c r="J64" s="190">
        <v>5952.7</v>
      </c>
      <c r="K64" s="190"/>
    </row>
    <row r="65" spans="1:11" ht="12.75">
      <c r="A65" s="189">
        <v>1973</v>
      </c>
      <c r="B65" s="190">
        <v>1944.3</v>
      </c>
      <c r="C65" s="190">
        <v>1523.8</v>
      </c>
      <c r="D65" s="190">
        <v>827</v>
      </c>
      <c r="E65" s="190">
        <v>547.1</v>
      </c>
      <c r="F65" s="190">
        <v>488.6</v>
      </c>
      <c r="G65" s="190">
        <v>174.5</v>
      </c>
      <c r="H65" s="190">
        <v>34.2</v>
      </c>
      <c r="I65" s="190">
        <v>73.6</v>
      </c>
      <c r="J65" s="190">
        <v>5613.1</v>
      </c>
      <c r="K65" s="190"/>
    </row>
    <row r="66" spans="1:11" ht="12.75">
      <c r="A66" s="189">
        <v>1972</v>
      </c>
      <c r="B66" s="190">
        <v>1848.4</v>
      </c>
      <c r="C66" s="190">
        <v>1445.4</v>
      </c>
      <c r="D66" s="190">
        <v>774</v>
      </c>
      <c r="E66" s="190">
        <v>516.5</v>
      </c>
      <c r="F66" s="190">
        <v>465.1</v>
      </c>
      <c r="G66" s="190">
        <v>167.8</v>
      </c>
      <c r="H66" s="190">
        <v>32</v>
      </c>
      <c r="I66" s="190">
        <v>67.9</v>
      </c>
      <c r="J66" s="190">
        <v>5317.1</v>
      </c>
      <c r="K66" s="190"/>
    </row>
    <row r="67" spans="1:11" ht="12.75">
      <c r="A67" s="189">
        <v>1971</v>
      </c>
      <c r="B67" s="190">
        <v>1739.8</v>
      </c>
      <c r="C67" s="190">
        <v>1379.3</v>
      </c>
      <c r="D67" s="190">
        <v>726.5</v>
      </c>
      <c r="E67" s="190">
        <v>496.8</v>
      </c>
      <c r="F67" s="190">
        <v>445.6</v>
      </c>
      <c r="G67" s="190">
        <v>161.3</v>
      </c>
      <c r="H67" s="190">
        <v>28.7</v>
      </c>
      <c r="I67" s="190">
        <v>61.2</v>
      </c>
      <c r="J67" s="190">
        <v>5039.2</v>
      </c>
      <c r="K67" s="190"/>
    </row>
    <row r="68" spans="1:11" ht="12.75">
      <c r="A68" s="189">
        <v>1970</v>
      </c>
      <c r="B68" s="190">
        <v>1648.3</v>
      </c>
      <c r="C68" s="190">
        <v>1314.7</v>
      </c>
      <c r="D68" s="190">
        <v>686.1</v>
      </c>
      <c r="E68" s="190">
        <v>478.3</v>
      </c>
      <c r="F68" s="190">
        <v>411.7</v>
      </c>
      <c r="G68" s="190">
        <v>154.3</v>
      </c>
      <c r="H68" s="190">
        <v>25</v>
      </c>
      <c r="I68" s="190">
        <v>53.2</v>
      </c>
      <c r="J68" s="190">
        <v>4771.6</v>
      </c>
      <c r="K68" s="190"/>
    </row>
    <row r="69" spans="1:11" ht="12.75">
      <c r="A69" s="189">
        <v>1969</v>
      </c>
      <c r="B69" s="190">
        <v>1555.7</v>
      </c>
      <c r="C69" s="190">
        <v>1248.6</v>
      </c>
      <c r="D69" s="190">
        <v>649.9</v>
      </c>
      <c r="E69" s="190">
        <v>456.5</v>
      </c>
      <c r="F69" s="190">
        <v>379.4</v>
      </c>
      <c r="G69" s="190">
        <v>148.7</v>
      </c>
      <c r="H69" s="190">
        <v>22.5</v>
      </c>
      <c r="I69" s="190">
        <v>47.1</v>
      </c>
      <c r="J69" s="190">
        <v>4508.4</v>
      </c>
      <c r="K69" s="190"/>
    </row>
    <row r="70" spans="1:11" ht="12.75">
      <c r="A70" s="189">
        <v>1968</v>
      </c>
      <c r="B70" s="190">
        <v>1482.1</v>
      </c>
      <c r="C70" s="190">
        <v>1188.5</v>
      </c>
      <c r="D70" s="190">
        <v>620.9</v>
      </c>
      <c r="E70" s="190">
        <v>432.1</v>
      </c>
      <c r="F70" s="190">
        <v>352</v>
      </c>
      <c r="G70" s="190">
        <v>141</v>
      </c>
      <c r="H70" s="190">
        <v>19.9</v>
      </c>
      <c r="I70" s="190">
        <v>42.8</v>
      </c>
      <c r="J70" s="190">
        <v>4279.3</v>
      </c>
      <c r="K70" s="190"/>
    </row>
    <row r="71" spans="1:11" ht="12.75">
      <c r="A71" s="189">
        <v>1967</v>
      </c>
      <c r="B71" s="190">
        <v>1437.3</v>
      </c>
      <c r="C71" s="190">
        <v>1136.5</v>
      </c>
      <c r="D71" s="190">
        <v>590</v>
      </c>
      <c r="E71" s="190">
        <v>413.1</v>
      </c>
      <c r="F71" s="190">
        <v>337.1</v>
      </c>
      <c r="G71" s="190">
        <v>135.1</v>
      </c>
      <c r="H71" s="190">
        <v>17</v>
      </c>
      <c r="I71" s="190">
        <v>40.4</v>
      </c>
      <c r="J71" s="190">
        <v>4106.6</v>
      </c>
      <c r="K71" s="190"/>
    </row>
    <row r="72" spans="1:11" ht="12.75">
      <c r="A72" s="189">
        <v>1966</v>
      </c>
      <c r="B72" s="190">
        <v>1369</v>
      </c>
      <c r="C72" s="190">
        <v>1092.9</v>
      </c>
      <c r="D72" s="190">
        <v>564.5</v>
      </c>
      <c r="E72" s="190">
        <v>399.1</v>
      </c>
      <c r="F72" s="190">
        <v>313</v>
      </c>
      <c r="G72" s="190">
        <v>129.2</v>
      </c>
      <c r="H72" s="190">
        <v>15.5</v>
      </c>
      <c r="I72" s="190">
        <v>36</v>
      </c>
      <c r="J72" s="190">
        <v>3919.5</v>
      </c>
      <c r="K72" s="190"/>
    </row>
    <row r="73" spans="1:11" ht="12.75">
      <c r="A73" s="189">
        <v>1965</v>
      </c>
      <c r="B73" s="190">
        <v>1312.6</v>
      </c>
      <c r="C73" s="190">
        <v>1049.8</v>
      </c>
      <c r="D73" s="190">
        <v>536.9</v>
      </c>
      <c r="E73" s="190">
        <v>384.7</v>
      </c>
      <c r="F73" s="190">
        <v>291.5</v>
      </c>
      <c r="G73" s="190">
        <v>122.5</v>
      </c>
      <c r="H73" s="190">
        <v>14.1</v>
      </c>
      <c r="I73" s="190">
        <v>32.1</v>
      </c>
      <c r="J73" s="190">
        <v>3744.3</v>
      </c>
      <c r="K73" s="190"/>
    </row>
    <row r="74" spans="1:11" ht="12.75">
      <c r="A74" s="189">
        <v>1964</v>
      </c>
      <c r="B74" s="190">
        <v>1230.7</v>
      </c>
      <c r="C74" s="190">
        <v>989.9</v>
      </c>
      <c r="D74" s="190">
        <v>497.9</v>
      </c>
      <c r="E74" s="190">
        <v>363.7</v>
      </c>
      <c r="F74" s="190">
        <v>277.9</v>
      </c>
      <c r="G74" s="190">
        <v>114.6</v>
      </c>
      <c r="H74" s="190">
        <v>13.3</v>
      </c>
      <c r="I74" s="190">
        <v>28.1</v>
      </c>
      <c r="J74" s="190">
        <v>3516.2</v>
      </c>
      <c r="K74" s="190"/>
    </row>
    <row r="75" spans="1:11" ht="12.75">
      <c r="A75" s="189">
        <v>1963</v>
      </c>
      <c r="B75" s="190">
        <v>1157.4</v>
      </c>
      <c r="C75" s="190">
        <v>931.5</v>
      </c>
      <c r="D75" s="190">
        <v>459</v>
      </c>
      <c r="E75" s="190">
        <v>342.9</v>
      </c>
      <c r="F75" s="190">
        <v>258.2</v>
      </c>
      <c r="G75" s="190">
        <v>107.4</v>
      </c>
      <c r="H75" s="190">
        <v>11.2</v>
      </c>
      <c r="I75" s="190">
        <v>24.2</v>
      </c>
      <c r="J75" s="190">
        <v>3291.9</v>
      </c>
      <c r="K75" s="190"/>
    </row>
    <row r="76" spans="1:11" ht="12.75">
      <c r="A76" s="189">
        <v>1962</v>
      </c>
      <c r="B76" s="190">
        <v>1088.4</v>
      </c>
      <c r="C76" s="190">
        <v>876.6</v>
      </c>
      <c r="D76" s="190">
        <v>431.7</v>
      </c>
      <c r="E76" s="190">
        <v>328.6</v>
      </c>
      <c r="F76" s="190">
        <v>242.1</v>
      </c>
      <c r="G76" s="190">
        <v>102.6</v>
      </c>
      <c r="H76" s="190">
        <v>10.1</v>
      </c>
      <c r="I76" s="190">
        <v>20.5</v>
      </c>
      <c r="J76" s="190">
        <v>3100.7</v>
      </c>
      <c r="K76" s="190"/>
    </row>
    <row r="77" spans="1:11" ht="12.75">
      <c r="A77" s="189">
        <v>1961</v>
      </c>
      <c r="B77" s="190">
        <v>1031.1</v>
      </c>
      <c r="C77" s="190">
        <v>844.7</v>
      </c>
      <c r="D77" s="190">
        <v>418.6</v>
      </c>
      <c r="E77" s="190">
        <v>318.5</v>
      </c>
      <c r="F77" s="190">
        <v>225.2</v>
      </c>
      <c r="G77" s="190">
        <v>97.4</v>
      </c>
      <c r="H77" s="190">
        <v>9.3</v>
      </c>
      <c r="I77" s="190">
        <v>17.9</v>
      </c>
      <c r="J77" s="190">
        <v>2962.7</v>
      </c>
      <c r="K77" s="190"/>
    </row>
    <row r="78" spans="1:11" ht="12.75">
      <c r="A78" s="189">
        <v>1960</v>
      </c>
      <c r="B78" s="190">
        <v>977.8</v>
      </c>
      <c r="C78" s="190">
        <v>802.9</v>
      </c>
      <c r="D78" s="190">
        <v>404</v>
      </c>
      <c r="E78" s="190">
        <v>309.8</v>
      </c>
      <c r="F78" s="190">
        <v>212.1</v>
      </c>
      <c r="G78" s="190">
        <v>93.2</v>
      </c>
      <c r="H78" s="190">
        <v>8.3</v>
      </c>
      <c r="I78" s="190">
        <v>15.9</v>
      </c>
      <c r="J78" s="190">
        <v>2824.2</v>
      </c>
      <c r="K78" s="190"/>
    </row>
    <row r="79" spans="1:11" ht="12.75">
      <c r="A79" s="189">
        <v>1959</v>
      </c>
      <c r="B79" s="190">
        <v>919.4</v>
      </c>
      <c r="C79" s="190">
        <v>749.9</v>
      </c>
      <c r="D79" s="190">
        <v>381.9</v>
      </c>
      <c r="E79" s="190">
        <v>290.8</v>
      </c>
      <c r="F79" s="190">
        <v>198.4</v>
      </c>
      <c r="G79" s="190">
        <v>87.7</v>
      </c>
      <c r="H79" s="190">
        <v>7.4</v>
      </c>
      <c r="I79" s="190">
        <v>13.7</v>
      </c>
      <c r="J79" s="190">
        <v>2649.1</v>
      </c>
      <c r="K79" s="190"/>
    </row>
    <row r="80" spans="1:11" ht="12.75">
      <c r="A80" s="189">
        <v>1958</v>
      </c>
      <c r="B80" s="190">
        <v>865.3</v>
      </c>
      <c r="C80" s="190">
        <v>711.7</v>
      </c>
      <c r="D80" s="190">
        <v>363.9</v>
      </c>
      <c r="E80" s="190">
        <v>274.8</v>
      </c>
      <c r="F80" s="190">
        <v>188.1</v>
      </c>
      <c r="G80" s="190">
        <v>83.8</v>
      </c>
      <c r="H80" s="190">
        <v>6.8</v>
      </c>
      <c r="I80" s="190">
        <v>11.9</v>
      </c>
      <c r="J80" s="190">
        <v>2506.2</v>
      </c>
      <c r="K80" s="190"/>
    </row>
    <row r="81" spans="1:11" ht="12.75">
      <c r="A81" s="189">
        <v>1957</v>
      </c>
      <c r="B81" s="190">
        <v>807.9</v>
      </c>
      <c r="C81" s="190">
        <v>675.5</v>
      </c>
      <c r="D81" s="190">
        <v>344.4</v>
      </c>
      <c r="E81" s="190">
        <v>262.5</v>
      </c>
      <c r="F81" s="190">
        <v>180.6</v>
      </c>
      <c r="G81" s="190">
        <v>78.6</v>
      </c>
      <c r="H81" s="190">
        <v>5.9</v>
      </c>
      <c r="I81" s="190">
        <v>10.6</v>
      </c>
      <c r="J81" s="190">
        <v>2366.1</v>
      </c>
      <c r="K81" s="190"/>
    </row>
    <row r="82" spans="1:11" ht="12.75">
      <c r="A82" s="189">
        <v>1956</v>
      </c>
      <c r="B82" s="190">
        <v>759.8</v>
      </c>
      <c r="C82" s="190">
        <v>647.2</v>
      </c>
      <c r="D82" s="190">
        <v>326.3</v>
      </c>
      <c r="E82" s="190">
        <v>248.2</v>
      </c>
      <c r="F82" s="190">
        <v>174.9</v>
      </c>
      <c r="G82" s="190">
        <v>74.7</v>
      </c>
      <c r="H82" s="190">
        <v>5.2</v>
      </c>
      <c r="I82" s="190">
        <v>9.9</v>
      </c>
      <c r="J82" s="190">
        <v>2246.3</v>
      </c>
      <c r="K82" s="190"/>
    </row>
    <row r="83" spans="1:11" ht="12.75">
      <c r="A83" s="189">
        <v>1955</v>
      </c>
      <c r="B83" s="190">
        <v>709</v>
      </c>
      <c r="C83" s="190">
        <v>629.1</v>
      </c>
      <c r="D83" s="190">
        <v>307.7</v>
      </c>
      <c r="E83" s="190">
        <v>229.5</v>
      </c>
      <c r="F83" s="190">
        <v>168.8</v>
      </c>
      <c r="G83" s="190">
        <v>71.7</v>
      </c>
      <c r="H83" s="190">
        <v>4.9</v>
      </c>
      <c r="I83" s="190">
        <v>8.8</v>
      </c>
      <c r="J83" s="190">
        <v>2129.7</v>
      </c>
      <c r="K83" s="190"/>
    </row>
    <row r="84" spans="1:11" ht="12.75">
      <c r="A84" s="189">
        <v>1954</v>
      </c>
      <c r="B84" s="190">
        <v>654.5</v>
      </c>
      <c r="C84" s="190">
        <v>559.2</v>
      </c>
      <c r="D84" s="190">
        <v>284.2</v>
      </c>
      <c r="E84" s="190">
        <v>218.4</v>
      </c>
      <c r="F84" s="190">
        <v>153.9</v>
      </c>
      <c r="G84" s="190">
        <v>65.3</v>
      </c>
      <c r="H84" s="190">
        <v>3.8</v>
      </c>
      <c r="I84" s="190">
        <v>7.8</v>
      </c>
      <c r="J84" s="190">
        <v>1947.3</v>
      </c>
      <c r="K84" s="190"/>
    </row>
    <row r="85" spans="1:11" ht="12.75">
      <c r="A85" s="189">
        <v>1953</v>
      </c>
      <c r="B85" s="190">
        <v>613.5</v>
      </c>
      <c r="C85" s="190">
        <v>539.8</v>
      </c>
      <c r="D85" s="190">
        <v>266.2</v>
      </c>
      <c r="E85" s="190">
        <v>205.7</v>
      </c>
      <c r="F85" s="190">
        <v>141.9</v>
      </c>
      <c r="G85" s="190">
        <v>60.5</v>
      </c>
      <c r="H85" s="190">
        <v>5.1</v>
      </c>
      <c r="I85" s="190">
        <v>6.9</v>
      </c>
      <c r="J85" s="190">
        <v>1839.9</v>
      </c>
      <c r="K85" s="190"/>
    </row>
    <row r="86" spans="1:11" ht="12.75">
      <c r="A86" s="189">
        <v>1952</v>
      </c>
      <c r="B86" s="190">
        <v>590.5</v>
      </c>
      <c r="C86" s="190">
        <v>533.2</v>
      </c>
      <c r="D86" s="190">
        <v>255</v>
      </c>
      <c r="E86" s="190">
        <v>192.3</v>
      </c>
      <c r="F86" s="190">
        <v>132.9</v>
      </c>
      <c r="G86" s="190">
        <v>55.1</v>
      </c>
      <c r="H86" s="190">
        <v>4.7</v>
      </c>
      <c r="I86" s="190">
        <v>6.2</v>
      </c>
      <c r="J86" s="190">
        <v>1770.2</v>
      </c>
      <c r="K86" s="190"/>
    </row>
    <row r="87" spans="1:11" ht="12.75">
      <c r="A87" s="189">
        <v>1951</v>
      </c>
      <c r="B87" s="190">
        <v>544.3</v>
      </c>
      <c r="C87" s="190">
        <v>444.4</v>
      </c>
      <c r="D87" s="190">
        <v>240.7</v>
      </c>
      <c r="E87" s="190">
        <v>173</v>
      </c>
      <c r="F87" s="190">
        <v>118.6</v>
      </c>
      <c r="G87" s="190">
        <v>49.1</v>
      </c>
      <c r="H87" s="190">
        <v>4.3</v>
      </c>
      <c r="I87" s="190">
        <v>5.5</v>
      </c>
      <c r="J87" s="190">
        <v>1580.4</v>
      </c>
      <c r="K87" s="190"/>
    </row>
    <row r="88" spans="1:11" ht="12.75">
      <c r="A88" s="189">
        <v>1950</v>
      </c>
      <c r="B88" s="190">
        <v>478</v>
      </c>
      <c r="C88" s="190">
        <v>399.8</v>
      </c>
      <c r="D88" s="190">
        <v>212.9</v>
      </c>
      <c r="E88" s="190">
        <v>151.9</v>
      </c>
      <c r="F88" s="190">
        <v>103.3</v>
      </c>
      <c r="G88" s="190">
        <v>42.7</v>
      </c>
      <c r="H88" s="190">
        <v>3.7</v>
      </c>
      <c r="I88" s="190">
        <v>4.3</v>
      </c>
      <c r="J88" s="190">
        <v>1397.1</v>
      </c>
      <c r="K88" s="190"/>
    </row>
    <row r="89" spans="1:11" ht="12.75">
      <c r="A89" s="189"/>
      <c r="B89" s="191"/>
      <c r="C89" s="191"/>
      <c r="D89" s="194"/>
      <c r="E89" s="194"/>
      <c r="F89" s="191"/>
      <c r="G89" s="191"/>
      <c r="H89" s="191"/>
      <c r="I89" s="191"/>
      <c r="J89" s="98"/>
      <c r="K89" s="98"/>
    </row>
    <row r="90" spans="1:11" ht="12.75">
      <c r="A90" s="189"/>
      <c r="B90" s="195"/>
      <c r="C90" s="195"/>
      <c r="D90" s="195"/>
      <c r="E90" s="195"/>
      <c r="F90" s="195"/>
      <c r="G90" s="195"/>
      <c r="H90" s="195"/>
      <c r="I90" s="195"/>
      <c r="J90" s="195"/>
      <c r="K90" s="195"/>
    </row>
    <row r="91" spans="1:11" ht="12.75">
      <c r="A91" s="196"/>
      <c r="B91" s="72"/>
      <c r="C91" s="72"/>
      <c r="D91" s="72"/>
      <c r="E91" s="72"/>
      <c r="F91" s="72"/>
      <c r="G91" s="72"/>
      <c r="H91" s="72"/>
      <c r="I91" s="72"/>
      <c r="J91" s="72"/>
      <c r="K91" s="72"/>
    </row>
    <row r="92" spans="1:11" ht="12.75">
      <c r="A92" s="72"/>
      <c r="B92" s="197"/>
      <c r="C92" s="72"/>
      <c r="D92" s="72"/>
      <c r="E92" s="72"/>
      <c r="F92" s="72"/>
      <c r="G92" s="72"/>
      <c r="H92" s="72"/>
      <c r="I92" s="72"/>
      <c r="J92" s="72"/>
      <c r="K92" s="72"/>
    </row>
    <row r="93" spans="1:11" ht="12.75">
      <c r="A93" s="462"/>
      <c r="B93" s="462"/>
      <c r="C93" s="462"/>
      <c r="D93" s="462"/>
      <c r="E93" s="462"/>
      <c r="F93" s="462"/>
      <c r="G93" s="462"/>
      <c r="H93" s="462"/>
      <c r="I93" s="462"/>
      <c r="J93" s="462"/>
      <c r="K93" s="304"/>
    </row>
  </sheetData>
  <sheetProtection/>
  <mergeCells count="12">
    <mergeCell ref="L2:L3"/>
    <mergeCell ref="M2:M3"/>
    <mergeCell ref="K2:K3"/>
    <mergeCell ref="A18:B18"/>
    <mergeCell ref="A93:J93"/>
    <mergeCell ref="H2:H3"/>
    <mergeCell ref="I2:I3"/>
    <mergeCell ref="J2:J3"/>
    <mergeCell ref="A2:A3"/>
    <mergeCell ref="D2:E2"/>
    <mergeCell ref="F2:F3"/>
    <mergeCell ref="G2:G3"/>
  </mergeCells>
  <printOptions/>
  <pageMargins left="0.75" right="0.75" top="1" bottom="1" header="0.5" footer="0.5"/>
  <pageSetup orientation="portrait" paperSize="9"/>
  <drawing r:id="rId3"/>
  <legacyDrawing r:id="rId2"/>
</worksheet>
</file>

<file path=xl/worksheets/sheet17.xml><?xml version="1.0" encoding="utf-8"?>
<worksheet xmlns="http://schemas.openxmlformats.org/spreadsheetml/2006/main" xmlns:r="http://schemas.openxmlformats.org/officeDocument/2006/relationships">
  <dimension ref="A1:I12"/>
  <sheetViews>
    <sheetView zoomScalePageLayoutView="0" workbookViewId="0" topLeftCell="A1">
      <selection activeCell="I12" sqref="I12"/>
    </sheetView>
  </sheetViews>
  <sheetFormatPr defaultColWidth="9.140625" defaultRowHeight="12.75"/>
  <cols>
    <col min="1" max="1" width="30.421875" style="0" customWidth="1"/>
    <col min="2" max="2" width="13.00390625" style="0" customWidth="1"/>
    <col min="3" max="3" width="12.421875" style="0" customWidth="1"/>
    <col min="4" max="4" width="12.00390625" style="0" customWidth="1"/>
    <col min="5" max="5" width="11.7109375" style="0" customWidth="1"/>
    <col min="6" max="6" width="13.140625" style="0" customWidth="1"/>
    <col min="7" max="7" width="11.28125" style="0" customWidth="1"/>
    <col min="8" max="8" width="11.57421875" style="0" customWidth="1"/>
    <col min="9" max="9" width="15.00390625" style="0" customWidth="1"/>
  </cols>
  <sheetData>
    <row r="1" ht="15.75">
      <c r="A1" s="97" t="s">
        <v>627</v>
      </c>
    </row>
    <row r="2" ht="15.75">
      <c r="A2" s="97" t="s">
        <v>628</v>
      </c>
    </row>
    <row r="3" spans="1:9" ht="12.75">
      <c r="A3" s="9" t="s">
        <v>452</v>
      </c>
      <c r="B3" s="78" t="s">
        <v>209</v>
      </c>
      <c r="C3" s="78" t="s">
        <v>457</v>
      </c>
      <c r="D3" s="78" t="s">
        <v>200</v>
      </c>
      <c r="E3" s="78" t="s">
        <v>216</v>
      </c>
      <c r="F3" s="78" t="s">
        <v>167</v>
      </c>
      <c r="G3" s="78" t="s">
        <v>166</v>
      </c>
      <c r="H3" s="78" t="s">
        <v>168</v>
      </c>
      <c r="I3" s="78" t="s">
        <v>453</v>
      </c>
    </row>
    <row r="4" spans="1:9" ht="12.75">
      <c r="A4" s="9" t="s">
        <v>454</v>
      </c>
      <c r="B4" s="201">
        <v>1465.7</v>
      </c>
      <c r="C4" s="201">
        <v>2648.9</v>
      </c>
      <c r="D4" s="201">
        <v>1880.4</v>
      </c>
      <c r="E4" s="201">
        <v>194.2</v>
      </c>
      <c r="F4" s="201">
        <v>55.3</v>
      </c>
      <c r="G4" s="201">
        <v>627.2</v>
      </c>
      <c r="H4" s="201">
        <v>768.5</v>
      </c>
      <c r="I4" s="201">
        <f>SUM(B4:H4)</f>
        <v>7640.2</v>
      </c>
    </row>
    <row r="5" spans="1:9" ht="12.75">
      <c r="A5" s="9" t="s">
        <v>455</v>
      </c>
      <c r="B5" s="201">
        <v>1583.1</v>
      </c>
      <c r="C5" s="201">
        <v>2773.3</v>
      </c>
      <c r="D5" s="201">
        <v>1975.6</v>
      </c>
      <c r="E5" s="201">
        <v>202.8</v>
      </c>
      <c r="F5" s="201">
        <v>67.2</v>
      </c>
      <c r="G5" s="201">
        <v>649</v>
      </c>
      <c r="H5" s="201">
        <v>806.3</v>
      </c>
      <c r="I5" s="201">
        <f>SUM(B5:H5)</f>
        <v>8057.3</v>
      </c>
    </row>
    <row r="6" spans="1:9" ht="12.75">
      <c r="A6" t="s">
        <v>837</v>
      </c>
      <c r="B6" s="32">
        <f aca="true" t="shared" si="0" ref="B6:H6">C6*(B5*1/C5)</f>
        <v>2554242.7364005316</v>
      </c>
      <c r="C6" s="32">
        <f t="shared" si="0"/>
        <v>4474563.439365545</v>
      </c>
      <c r="D6" s="32">
        <f t="shared" si="0"/>
        <v>3187519.392352277</v>
      </c>
      <c r="E6" s="32">
        <f t="shared" si="0"/>
        <v>327206.3842726472</v>
      </c>
      <c r="F6" s="32">
        <f t="shared" si="0"/>
        <v>108423.41727377659</v>
      </c>
      <c r="G6" s="32">
        <f t="shared" si="0"/>
        <v>1047124.9674208483</v>
      </c>
      <c r="H6" s="32">
        <f t="shared" si="0"/>
        <v>1300919.6629143758</v>
      </c>
      <c r="I6" s="32">
        <v>13000000</v>
      </c>
    </row>
    <row r="7" spans="1:9" ht="12.75">
      <c r="A7" s="266" t="s">
        <v>842</v>
      </c>
      <c r="I7" s="365">
        <f>(B6/B5)/1000</f>
        <v>1.6134437094311993</v>
      </c>
    </row>
    <row r="8" spans="1:9" ht="12.75">
      <c r="A8" s="266" t="s">
        <v>839</v>
      </c>
      <c r="B8" s="366">
        <v>0.1</v>
      </c>
      <c r="F8" t="s">
        <v>838</v>
      </c>
      <c r="I8" s="32">
        <f>I6*B8</f>
        <v>1300000</v>
      </c>
    </row>
    <row r="9" spans="1:9" ht="12.75">
      <c r="A9" s="266" t="s">
        <v>840</v>
      </c>
      <c r="B9" s="32">
        <v>159102</v>
      </c>
      <c r="F9" t="s">
        <v>841</v>
      </c>
      <c r="I9" s="32">
        <f>B9*I7</f>
        <v>256702.12105792266</v>
      </c>
    </row>
    <row r="10" spans="1:9" ht="12.75">
      <c r="A10" s="266" t="s">
        <v>843</v>
      </c>
      <c r="I10" s="32">
        <f>SUM(I8:I9)</f>
        <v>1556702.1210579227</v>
      </c>
    </row>
    <row r="11" spans="6:9" ht="12.75">
      <c r="F11" s="266" t="s">
        <v>844</v>
      </c>
      <c r="I11" s="367">
        <v>480</v>
      </c>
    </row>
    <row r="12" spans="6:9" ht="12.75">
      <c r="F12" s="266" t="s">
        <v>845</v>
      </c>
      <c r="I12" s="367">
        <f>I10*I11</f>
        <v>747217018.1078029</v>
      </c>
    </row>
  </sheetData>
  <sheetProtection/>
  <printOptions/>
  <pageMargins left="0.75" right="0.75" top="1" bottom="1" header="0.5" footer="0.5"/>
  <pageSetup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
    </sheetView>
  </sheetViews>
  <sheetFormatPr defaultColWidth="9.140625" defaultRowHeight="12.75"/>
  <cols>
    <col min="1" max="1" width="35.57421875" style="0" bestFit="1" customWidth="1"/>
    <col min="2" max="2" width="10.57421875" style="0" bestFit="1" customWidth="1"/>
  </cols>
  <sheetData>
    <row r="1" ht="15.75">
      <c r="A1" s="97" t="s">
        <v>631</v>
      </c>
    </row>
    <row r="2" spans="1:5" ht="51">
      <c r="A2" s="4" t="s">
        <v>3</v>
      </c>
      <c r="B2" s="4" t="s">
        <v>82</v>
      </c>
      <c r="C2" s="4" t="s">
        <v>95</v>
      </c>
      <c r="D2" s="4" t="s">
        <v>12</v>
      </c>
      <c r="E2" s="4" t="s">
        <v>47</v>
      </c>
    </row>
    <row r="3" ht="12.75">
      <c r="A3" s="25" t="s">
        <v>97</v>
      </c>
    </row>
    <row r="4" spans="1:5" ht="12.75">
      <c r="A4" s="34" t="s">
        <v>98</v>
      </c>
      <c r="C4" s="29">
        <v>58500</v>
      </c>
      <c r="E4" s="12">
        <v>7</v>
      </c>
    </row>
    <row r="5" spans="1:5" ht="12.75">
      <c r="A5" s="34" t="s">
        <v>100</v>
      </c>
      <c r="C5" s="29">
        <v>29750</v>
      </c>
      <c r="D5" s="289">
        <v>0.048</v>
      </c>
      <c r="E5" s="12">
        <v>10</v>
      </c>
    </row>
    <row r="6" spans="1:5" ht="12.75">
      <c r="A6" s="34" t="s">
        <v>105</v>
      </c>
      <c r="C6" s="29">
        <v>1200</v>
      </c>
      <c r="E6" s="12">
        <v>17</v>
      </c>
    </row>
    <row r="7" spans="1:5" ht="12.75">
      <c r="A7" s="34" t="s">
        <v>101</v>
      </c>
      <c r="C7" s="29">
        <v>63000</v>
      </c>
      <c r="E7" s="12">
        <v>10</v>
      </c>
    </row>
    <row r="8" spans="1:5" ht="12.75">
      <c r="A8" s="34" t="s">
        <v>629</v>
      </c>
      <c r="C8" s="29">
        <v>600</v>
      </c>
      <c r="E8" s="12">
        <v>25</v>
      </c>
    </row>
    <row r="9" spans="1:5" ht="12.75">
      <c r="A9" s="34" t="s">
        <v>630</v>
      </c>
      <c r="B9" s="2" t="s">
        <v>96</v>
      </c>
      <c r="C9" s="29">
        <v>120</v>
      </c>
      <c r="E9" s="12">
        <v>25</v>
      </c>
    </row>
    <row r="10" spans="1:3" ht="12.75">
      <c r="A10" s="25" t="s">
        <v>102</v>
      </c>
      <c r="B10" s="2"/>
      <c r="C10" s="29"/>
    </row>
    <row r="11" spans="1:5" ht="12.75">
      <c r="A11" s="34" t="s">
        <v>103</v>
      </c>
      <c r="B11" s="2"/>
      <c r="C11" s="29">
        <v>25350</v>
      </c>
      <c r="D11" s="289">
        <v>0.048</v>
      </c>
      <c r="E11" s="12">
        <v>8</v>
      </c>
    </row>
    <row r="12" spans="1:5" ht="12.75">
      <c r="A12" s="34" t="s">
        <v>99</v>
      </c>
      <c r="B12" s="2"/>
      <c r="C12" s="29">
        <v>4300</v>
      </c>
      <c r="E12" s="12">
        <v>10</v>
      </c>
    </row>
    <row r="13" spans="1:5" ht="12.75">
      <c r="A13" s="34"/>
      <c r="B13" s="2"/>
      <c r="C13" s="29"/>
      <c r="E13" s="12"/>
    </row>
    <row r="14" spans="1:5" ht="12.75">
      <c r="A14" s="25" t="s">
        <v>104</v>
      </c>
      <c r="B14" s="2"/>
      <c r="C14" s="29">
        <v>100</v>
      </c>
      <c r="E14" s="12">
        <v>25</v>
      </c>
    </row>
  </sheetData>
  <sheetProtection/>
  <printOptions/>
  <pageMargins left="0.75" right="0.75" top="1" bottom="1" header="0.5" footer="0.5"/>
  <pageSetup horizontalDpi="200" verticalDpi="200" orientation="portrait" r:id="rId4"/>
  <drawing r:id="rId3"/>
  <legacyDrawing r:id="rId2"/>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I32" sqref="I32"/>
    </sheetView>
  </sheetViews>
  <sheetFormatPr defaultColWidth="9.140625" defaultRowHeight="12.75"/>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1" sqref="A11"/>
    </sheetView>
  </sheetViews>
  <sheetFormatPr defaultColWidth="9.140625" defaultRowHeight="12.75"/>
  <cols>
    <col min="1" max="1" width="45.7109375" style="0" customWidth="1"/>
    <col min="2" max="2" width="25.421875" style="0" customWidth="1"/>
  </cols>
  <sheetData>
    <row r="1" ht="61.5" customHeight="1">
      <c r="A1" s="369" t="s">
        <v>858</v>
      </c>
    </row>
    <row r="2" spans="1:2" ht="39" customHeight="1">
      <c r="A2" s="4" t="s">
        <v>852</v>
      </c>
      <c r="B2" s="368">
        <v>13000000</v>
      </c>
    </row>
    <row r="3" spans="1:2" ht="42.75" customHeight="1">
      <c r="A3" s="4" t="s">
        <v>853</v>
      </c>
      <c r="B3" s="368">
        <f>'AC per Household'!$I$12</f>
        <v>5638668.5500960555</v>
      </c>
    </row>
    <row r="4" spans="1:2" ht="35.25" customHeight="1">
      <c r="A4" s="4" t="s">
        <v>94</v>
      </c>
      <c r="B4" s="368">
        <f>Chillers!$F$77</f>
        <v>22450</v>
      </c>
    </row>
    <row r="5" spans="1:2" ht="39" customHeight="1">
      <c r="A5" s="4" t="s">
        <v>855</v>
      </c>
      <c r="B5" s="368" t="s">
        <v>856</v>
      </c>
    </row>
    <row r="6" spans="1:2" ht="39" customHeight="1">
      <c r="A6" s="4" t="s">
        <v>859</v>
      </c>
      <c r="B6" s="368">
        <v>3675</v>
      </c>
    </row>
    <row r="7" spans="1:2" ht="35.25" customHeight="1">
      <c r="A7" s="4" t="s">
        <v>857</v>
      </c>
      <c r="B7" s="368">
        <v>22853</v>
      </c>
    </row>
    <row r="8" spans="1:2" ht="41.25" customHeight="1">
      <c r="A8" s="4" t="s">
        <v>860</v>
      </c>
      <c r="B8" s="368">
        <f>'CC-Merch'!$K$12</f>
        <v>821500</v>
      </c>
    </row>
    <row r="9" spans="1:2" ht="36" customHeight="1">
      <c r="A9" s="4" t="s">
        <v>861</v>
      </c>
      <c r="B9" s="368">
        <f>'CC-Ref Transport'!$F$6</f>
        <v>16418.076311763696</v>
      </c>
    </row>
    <row r="10" spans="1:2" ht="33" customHeight="1">
      <c r="A10" s="4" t="s">
        <v>862</v>
      </c>
      <c r="B10" s="368">
        <v>10293770</v>
      </c>
    </row>
  </sheetData>
  <sheetProtection/>
  <printOptions/>
  <pageMargins left="0.75" right="0.75" top="1" bottom="1" header="0.5" footer="0.5"/>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BK96"/>
  <sheetViews>
    <sheetView zoomScalePageLayoutView="0" workbookViewId="0" topLeftCell="A1">
      <selection activeCell="A31" sqref="A31"/>
    </sheetView>
  </sheetViews>
  <sheetFormatPr defaultColWidth="9.140625" defaultRowHeight="12.75"/>
  <cols>
    <col min="9" max="9" width="9.57421875" style="0" bestFit="1" customWidth="1"/>
    <col min="10" max="10" width="4.28125" style="0" customWidth="1"/>
    <col min="11" max="11" width="26.28125" style="0" customWidth="1"/>
    <col min="14" max="14" width="9.57421875" style="0" bestFit="1" customWidth="1"/>
    <col min="15" max="15" width="9.28125" style="0" bestFit="1" customWidth="1"/>
    <col min="17" max="17" width="10.8515625" style="0" customWidth="1"/>
    <col min="18" max="18" width="12.00390625" style="0" bestFit="1" customWidth="1"/>
    <col min="19" max="19" width="9.8515625" style="2" bestFit="1" customWidth="1"/>
    <col min="20" max="20" width="9.140625" style="2" customWidth="1"/>
    <col min="21" max="21" width="10.8515625" style="2" customWidth="1"/>
    <col min="22" max="25" width="9.140625" style="2" customWidth="1"/>
    <col min="26" max="26" width="9.57421875" style="2" bestFit="1" customWidth="1"/>
    <col min="27" max="53" width="9.140625" style="2" customWidth="1"/>
    <col min="54" max="54" width="4.140625" style="0" customWidth="1"/>
    <col min="66" max="66" width="15.28125" style="0" customWidth="1"/>
    <col min="67" max="67" width="11.00390625" style="0" customWidth="1"/>
    <col min="68" max="68" width="11.421875" style="0" customWidth="1"/>
  </cols>
  <sheetData>
    <row r="1" ht="15.75">
      <c r="A1" s="97" t="s">
        <v>633</v>
      </c>
    </row>
    <row r="2" spans="1:55" ht="15.75">
      <c r="A2" s="97" t="s">
        <v>313</v>
      </c>
      <c r="K2" s="97" t="s">
        <v>312</v>
      </c>
      <c r="BC2" s="97" t="s">
        <v>311</v>
      </c>
    </row>
    <row r="3" spans="1:55" ht="51">
      <c r="A3" s="20" t="s">
        <v>172</v>
      </c>
      <c r="K3" s="4" t="s">
        <v>3</v>
      </c>
      <c r="L3" s="4" t="s">
        <v>95</v>
      </c>
      <c r="M3" s="4" t="s">
        <v>12</v>
      </c>
      <c r="N3" s="4" t="s">
        <v>12</v>
      </c>
      <c r="O3" s="4" t="s">
        <v>12</v>
      </c>
      <c r="P3" s="4" t="s">
        <v>47</v>
      </c>
      <c r="Q3" s="4" t="s">
        <v>649</v>
      </c>
      <c r="R3" s="4" t="s">
        <v>147</v>
      </c>
      <c r="S3" s="4">
        <v>2006</v>
      </c>
      <c r="T3" s="4">
        <v>2005</v>
      </c>
      <c r="U3" s="4">
        <v>2004</v>
      </c>
      <c r="V3" s="4">
        <v>2003</v>
      </c>
      <c r="W3" s="4">
        <v>2002</v>
      </c>
      <c r="X3" s="4">
        <v>2001</v>
      </c>
      <c r="Y3" s="4">
        <v>2000</v>
      </c>
      <c r="Z3" s="4">
        <v>1999</v>
      </c>
      <c r="AA3" s="4">
        <v>1998</v>
      </c>
      <c r="AB3" s="4" t="s">
        <v>335</v>
      </c>
      <c r="AC3" s="4">
        <v>1996</v>
      </c>
      <c r="AD3" s="4">
        <v>1995</v>
      </c>
      <c r="AE3" s="4">
        <v>1994</v>
      </c>
      <c r="AF3" s="4">
        <v>1993</v>
      </c>
      <c r="AG3" s="4" t="s">
        <v>336</v>
      </c>
      <c r="AH3" s="4">
        <v>1991</v>
      </c>
      <c r="AI3" s="4">
        <v>1990</v>
      </c>
      <c r="AJ3" s="4">
        <v>1989</v>
      </c>
      <c r="AK3" s="4">
        <v>1988</v>
      </c>
      <c r="AL3" s="4" t="s">
        <v>337</v>
      </c>
      <c r="AM3" s="4">
        <v>1986</v>
      </c>
      <c r="AN3" s="4">
        <v>1985</v>
      </c>
      <c r="AO3" s="4">
        <v>1984</v>
      </c>
      <c r="AP3" s="4">
        <v>1983</v>
      </c>
      <c r="AQ3" s="4" t="s">
        <v>338</v>
      </c>
      <c r="AR3" s="4">
        <v>1981</v>
      </c>
      <c r="AS3" s="4">
        <v>1980</v>
      </c>
      <c r="AT3" s="4">
        <v>1979</v>
      </c>
      <c r="AU3" s="4">
        <v>1978</v>
      </c>
      <c r="AV3" s="4" t="s">
        <v>367</v>
      </c>
      <c r="AW3" s="4">
        <v>1976</v>
      </c>
      <c r="AX3" s="4">
        <v>1976</v>
      </c>
      <c r="AY3" s="4">
        <v>1976</v>
      </c>
      <c r="AZ3" s="4">
        <v>1976</v>
      </c>
      <c r="BA3" s="4" t="s">
        <v>368</v>
      </c>
      <c r="BC3" t="s">
        <v>2</v>
      </c>
    </row>
    <row r="4" spans="1:63" ht="12.75">
      <c r="A4" s="55" t="s">
        <v>7</v>
      </c>
      <c r="B4" s="55" t="s">
        <v>162</v>
      </c>
      <c r="C4" s="56" t="s">
        <v>163</v>
      </c>
      <c r="D4" s="56" t="s">
        <v>164</v>
      </c>
      <c r="E4" s="56" t="s">
        <v>165</v>
      </c>
      <c r="F4" s="56" t="s">
        <v>166</v>
      </c>
      <c r="G4" s="56" t="s">
        <v>167</v>
      </c>
      <c r="H4" s="56" t="s">
        <v>168</v>
      </c>
      <c r="I4" s="57" t="s">
        <v>169</v>
      </c>
      <c r="K4" s="25" t="s">
        <v>2</v>
      </c>
      <c r="L4" s="29">
        <v>148216.66666666666</v>
      </c>
      <c r="M4" s="21">
        <v>0.15</v>
      </c>
      <c r="N4" s="22"/>
      <c r="O4" s="22"/>
      <c r="P4" s="2">
        <v>12</v>
      </c>
      <c r="Q4" s="23">
        <v>0</v>
      </c>
      <c r="R4" s="31" t="s">
        <v>306</v>
      </c>
      <c r="S4" s="31">
        <f>L4</f>
        <v>148216.66666666666</v>
      </c>
      <c r="T4" s="31">
        <v>129351.11111111111</v>
      </c>
      <c r="U4" s="31">
        <v>139368.88888888888</v>
      </c>
      <c r="V4" s="31">
        <v>88026.66666666667</v>
      </c>
      <c r="W4" s="31">
        <f>W6/W7</f>
        <v>86666.66666666667</v>
      </c>
      <c r="X4" s="31">
        <f aca="true" t="shared" si="0" ref="X4:AD4">X6/X7</f>
        <v>78333.33333333334</v>
      </c>
      <c r="Y4" s="31">
        <f t="shared" si="0"/>
        <v>70000</v>
      </c>
      <c r="Z4" s="31">
        <f t="shared" si="0"/>
        <v>61666.66666666667</v>
      </c>
      <c r="AA4" s="31">
        <f t="shared" si="0"/>
        <v>53333.333333333336</v>
      </c>
      <c r="AB4" s="31">
        <f t="shared" si="0"/>
        <v>45000</v>
      </c>
      <c r="AC4" s="31">
        <f t="shared" si="0"/>
        <v>45000</v>
      </c>
      <c r="AD4" s="31">
        <f t="shared" si="0"/>
        <v>45000</v>
      </c>
      <c r="BC4" s="7" t="s">
        <v>17</v>
      </c>
      <c r="BD4" s="8" t="s">
        <v>18</v>
      </c>
      <c r="BE4" s="119">
        <v>53</v>
      </c>
      <c r="BF4" s="7" t="s">
        <v>19</v>
      </c>
      <c r="BG4" s="8" t="s">
        <v>18</v>
      </c>
      <c r="BH4" s="119">
        <v>1</v>
      </c>
      <c r="BI4" s="120">
        <f>BE4+BH4</f>
        <v>54</v>
      </c>
      <c r="BJ4" s="121">
        <v>2.5</v>
      </c>
      <c r="BK4" s="122">
        <f>BI4*BJ4</f>
        <v>135</v>
      </c>
    </row>
    <row r="5" spans="1:63" ht="12.75">
      <c r="A5" s="52"/>
      <c r="B5" s="52"/>
      <c r="C5" s="53" t="s">
        <v>170</v>
      </c>
      <c r="D5" s="53"/>
      <c r="E5" s="53"/>
      <c r="F5" s="53" t="s">
        <v>171</v>
      </c>
      <c r="G5" s="53"/>
      <c r="H5" s="53"/>
      <c r="I5" s="54"/>
      <c r="K5" s="25"/>
      <c r="L5" s="29"/>
      <c r="M5" s="22"/>
      <c r="N5" s="22"/>
      <c r="O5" s="22"/>
      <c r="P5" s="2"/>
      <c r="Q5" s="2"/>
      <c r="R5" s="31" t="s">
        <v>307</v>
      </c>
      <c r="S5" s="31">
        <v>148217</v>
      </c>
      <c r="T5" s="31">
        <f>S4*(1-$M$4)</f>
        <v>125984.16666666666</v>
      </c>
      <c r="U5" s="31">
        <f>T4*(1-$M$4)</f>
        <v>109948.44444444444</v>
      </c>
      <c r="V5" s="31">
        <f>U4*(1-$M$4)</f>
        <v>118463.55555555555</v>
      </c>
      <c r="BC5" s="123"/>
      <c r="BD5" s="8" t="s">
        <v>20</v>
      </c>
      <c r="BE5" s="119">
        <v>1252</v>
      </c>
      <c r="BF5" s="123"/>
      <c r="BG5" s="8" t="s">
        <v>20</v>
      </c>
      <c r="BH5" s="119">
        <v>40</v>
      </c>
      <c r="BI5" s="120">
        <f aca="true" t="shared" si="1" ref="BI5:BI23">BE5+BH5</f>
        <v>1292</v>
      </c>
      <c r="BJ5" s="121">
        <v>4</v>
      </c>
      <c r="BK5" s="122">
        <f aca="true" t="shared" si="2" ref="BK5:BK21">BI5*BJ5</f>
        <v>5168</v>
      </c>
    </row>
    <row r="6" spans="1:63" ht="12.75">
      <c r="A6" s="115">
        <v>2005</v>
      </c>
      <c r="B6" s="115">
        <v>27041</v>
      </c>
      <c r="C6" s="115">
        <v>41211</v>
      </c>
      <c r="D6" s="115">
        <v>15333</v>
      </c>
      <c r="E6" s="115">
        <v>2504</v>
      </c>
      <c r="F6" s="115">
        <v>12967</v>
      </c>
      <c r="G6" s="115">
        <v>2027</v>
      </c>
      <c r="H6" s="115">
        <v>15333</v>
      </c>
      <c r="I6" s="116">
        <v>116416</v>
      </c>
      <c r="K6" s="25"/>
      <c r="L6" s="29"/>
      <c r="M6" s="22"/>
      <c r="N6" s="22"/>
      <c r="O6" s="22"/>
      <c r="P6" s="2"/>
      <c r="Q6" s="2"/>
      <c r="R6" s="2" t="s">
        <v>304</v>
      </c>
      <c r="S6" s="31">
        <v>103752</v>
      </c>
      <c r="T6" s="31">
        <v>88476</v>
      </c>
      <c r="U6" s="31">
        <v>92959</v>
      </c>
      <c r="V6" s="31">
        <v>57217</v>
      </c>
      <c r="W6" s="31">
        <v>52000</v>
      </c>
      <c r="X6" s="31">
        <v>47000</v>
      </c>
      <c r="Y6" s="31">
        <v>42000</v>
      </c>
      <c r="Z6" s="31">
        <v>37000</v>
      </c>
      <c r="AA6" s="31">
        <v>32000</v>
      </c>
      <c r="AB6" s="31">
        <v>27000</v>
      </c>
      <c r="AC6" s="2">
        <v>27000</v>
      </c>
      <c r="AD6" s="2">
        <v>27000</v>
      </c>
      <c r="BC6" s="123"/>
      <c r="BD6" s="8" t="s">
        <v>21</v>
      </c>
      <c r="BE6" s="119">
        <v>17155</v>
      </c>
      <c r="BF6" s="123"/>
      <c r="BG6" s="8" t="s">
        <v>21</v>
      </c>
      <c r="BH6" s="119">
        <v>614</v>
      </c>
      <c r="BI6" s="120">
        <f t="shared" si="1"/>
        <v>17769</v>
      </c>
      <c r="BJ6" s="121">
        <v>7.5</v>
      </c>
      <c r="BK6" s="122">
        <f t="shared" si="2"/>
        <v>133267.5</v>
      </c>
    </row>
    <row r="7" spans="1:63" ht="12.75">
      <c r="A7" s="117"/>
      <c r="B7" s="117">
        <f aca="true" t="shared" si="3" ref="B7:I7">B6/$I$6</f>
        <v>0.2322790681693238</v>
      </c>
      <c r="C7" s="117">
        <f t="shared" si="3"/>
        <v>0.35399773227047826</v>
      </c>
      <c r="D7" s="117">
        <f t="shared" si="3"/>
        <v>0.13170869983507422</v>
      </c>
      <c r="E7" s="117">
        <f t="shared" si="3"/>
        <v>0.02150907091808686</v>
      </c>
      <c r="F7" s="117">
        <f t="shared" si="3"/>
        <v>0.11138503298515667</v>
      </c>
      <c r="G7" s="117">
        <f t="shared" si="3"/>
        <v>0.017411695986805937</v>
      </c>
      <c r="H7" s="117">
        <f t="shared" si="3"/>
        <v>0.13170869983507422</v>
      </c>
      <c r="I7" s="117">
        <f t="shared" si="3"/>
        <v>1</v>
      </c>
      <c r="K7" s="25"/>
      <c r="L7" s="29"/>
      <c r="M7" s="22"/>
      <c r="N7" s="22"/>
      <c r="O7" s="22"/>
      <c r="P7" s="2"/>
      <c r="Q7" s="2"/>
      <c r="R7" s="2" t="s">
        <v>305</v>
      </c>
      <c r="S7" s="11">
        <f>S6/S4</f>
        <v>0.7000022489598561</v>
      </c>
      <c r="T7" s="11">
        <f>T6/T4</f>
        <v>0.6839987630566245</v>
      </c>
      <c r="U7" s="11">
        <f>U6/U4</f>
        <v>0.6669996492123222</v>
      </c>
      <c r="V7" s="11">
        <f>V6/V4</f>
        <v>0.6499962132687064</v>
      </c>
      <c r="W7" s="11">
        <v>0.6</v>
      </c>
      <c r="X7" s="11">
        <v>0.6</v>
      </c>
      <c r="Y7" s="11">
        <v>0.6</v>
      </c>
      <c r="Z7" s="11">
        <v>0.6</v>
      </c>
      <c r="AA7" s="11">
        <v>0.6</v>
      </c>
      <c r="AB7" s="11">
        <v>0.6</v>
      </c>
      <c r="AC7" s="11">
        <v>0.6</v>
      </c>
      <c r="AD7" s="11">
        <v>0.6</v>
      </c>
      <c r="BC7" s="123"/>
      <c r="BD7" s="8" t="s">
        <v>22</v>
      </c>
      <c r="BE7" s="119">
        <v>21178</v>
      </c>
      <c r="BF7" s="123"/>
      <c r="BG7" s="8" t="s">
        <v>22</v>
      </c>
      <c r="BH7" s="119">
        <v>904</v>
      </c>
      <c r="BI7" s="120">
        <f t="shared" si="1"/>
        <v>22082</v>
      </c>
      <c r="BJ7" s="121">
        <v>10</v>
      </c>
      <c r="BK7" s="122">
        <f t="shared" si="2"/>
        <v>220820</v>
      </c>
    </row>
    <row r="8" spans="1:63" ht="12.75">
      <c r="A8" s="115">
        <v>2006</v>
      </c>
      <c r="B8" s="115">
        <v>29405</v>
      </c>
      <c r="C8" s="115">
        <v>47958</v>
      </c>
      <c r="D8" s="115">
        <v>18204</v>
      </c>
      <c r="E8" s="115">
        <v>2585</v>
      </c>
      <c r="F8" s="115">
        <v>15971</v>
      </c>
      <c r="G8" s="115">
        <v>1236</v>
      </c>
      <c r="H8" s="115">
        <v>18036</v>
      </c>
      <c r="I8" s="116">
        <v>133395</v>
      </c>
      <c r="K8" s="25"/>
      <c r="L8" s="29"/>
      <c r="M8" s="22"/>
      <c r="N8" s="22"/>
      <c r="O8" s="22"/>
      <c r="P8" s="2"/>
      <c r="Q8" s="2"/>
      <c r="R8" s="2" t="s">
        <v>308</v>
      </c>
      <c r="S8" s="11">
        <f>100%*(1-$Q$4)</f>
        <v>1</v>
      </c>
      <c r="T8" s="11">
        <f>100%*(1-$Q$4)</f>
        <v>1</v>
      </c>
      <c r="U8" s="11">
        <f>100%*(1-$Q$4)</f>
        <v>1</v>
      </c>
      <c r="V8" s="11">
        <f>100%*(1-$Q$4)</f>
        <v>1</v>
      </c>
      <c r="W8" s="11">
        <f>95%*(1-Q4)</f>
        <v>0.95</v>
      </c>
      <c r="X8" s="11">
        <f>90%*(1-Q4)</f>
        <v>0.9</v>
      </c>
      <c r="Y8" s="11">
        <f>85%*(1-Q4)</f>
        <v>0.85</v>
      </c>
      <c r="Z8" s="11">
        <f>80%*(1-Q4)</f>
        <v>0.8</v>
      </c>
      <c r="AA8" s="11">
        <f>75%*(1-Q4)</f>
        <v>0.75</v>
      </c>
      <c r="AB8" s="11">
        <f>70%*(1-Q4)</f>
        <v>0.7</v>
      </c>
      <c r="AC8" s="11">
        <f>65%*(1-Q4)</f>
        <v>0.65</v>
      </c>
      <c r="AD8" s="11">
        <f>60%*(1-Q4)</f>
        <v>0.6</v>
      </c>
      <c r="BC8" s="123"/>
      <c r="BD8" s="8" t="s">
        <v>23</v>
      </c>
      <c r="BE8" s="119">
        <v>17672</v>
      </c>
      <c r="BF8" s="123"/>
      <c r="BG8" s="8" t="s">
        <v>23</v>
      </c>
      <c r="BH8" s="119">
        <v>883</v>
      </c>
      <c r="BI8" s="120">
        <f t="shared" si="1"/>
        <v>18555</v>
      </c>
      <c r="BJ8" s="121">
        <v>12.5</v>
      </c>
      <c r="BK8" s="122">
        <f t="shared" si="2"/>
        <v>231937.5</v>
      </c>
    </row>
    <row r="9" spans="1:63" ht="12.75">
      <c r="A9" s="117"/>
      <c r="B9" s="117">
        <f>B8/$I$8</f>
        <v>0.22043554855879155</v>
      </c>
      <c r="C9" s="117">
        <f aca="true" t="shared" si="4" ref="C9:I9">C8/$I$8</f>
        <v>0.35951872259080175</v>
      </c>
      <c r="D9" s="117">
        <f t="shared" si="4"/>
        <v>0.13646688406611943</v>
      </c>
      <c r="E9" s="117">
        <f t="shared" si="4"/>
        <v>0.01937853742644027</v>
      </c>
      <c r="F9" s="117">
        <f t="shared" si="4"/>
        <v>0.11972712620413059</v>
      </c>
      <c r="G9" s="117">
        <f t="shared" si="4"/>
        <v>0.009265714606994265</v>
      </c>
      <c r="H9" s="117">
        <f t="shared" si="4"/>
        <v>0.13520746654672214</v>
      </c>
      <c r="I9" s="117">
        <f t="shared" si="4"/>
        <v>1</v>
      </c>
      <c r="K9" s="25"/>
      <c r="L9" s="29"/>
      <c r="M9" s="22"/>
      <c r="N9" s="22"/>
      <c r="O9" s="22"/>
      <c r="P9" s="2"/>
      <c r="Q9" s="2"/>
      <c r="R9" s="113">
        <f>SUM(S9:AB9)</f>
        <v>838130</v>
      </c>
      <c r="S9" s="31">
        <f>S8*S4</f>
        <v>148216.66666666666</v>
      </c>
      <c r="T9" s="31">
        <f aca="true" t="shared" si="5" ref="T9:AD9">T8*T4</f>
        <v>129351.11111111111</v>
      </c>
      <c r="U9" s="31">
        <f t="shared" si="5"/>
        <v>139368.88888888888</v>
      </c>
      <c r="V9" s="31">
        <f t="shared" si="5"/>
        <v>88026.66666666667</v>
      </c>
      <c r="W9" s="31">
        <f t="shared" si="5"/>
        <v>82333.33333333333</v>
      </c>
      <c r="X9" s="31">
        <f t="shared" si="5"/>
        <v>70500.00000000001</v>
      </c>
      <c r="Y9" s="31">
        <f t="shared" si="5"/>
        <v>59500</v>
      </c>
      <c r="Z9" s="31">
        <f t="shared" si="5"/>
        <v>49333.33333333334</v>
      </c>
      <c r="AA9" s="31">
        <f t="shared" si="5"/>
        <v>40000</v>
      </c>
      <c r="AB9" s="31">
        <f t="shared" si="5"/>
        <v>31499.999999999996</v>
      </c>
      <c r="AC9" s="31">
        <f t="shared" si="5"/>
        <v>29250</v>
      </c>
      <c r="AD9" s="31">
        <f t="shared" si="5"/>
        <v>27000</v>
      </c>
      <c r="BC9" s="123"/>
      <c r="BD9" s="8" t="s">
        <v>24</v>
      </c>
      <c r="BE9" s="119">
        <v>24532</v>
      </c>
      <c r="BF9" s="123"/>
      <c r="BG9" s="8" t="s">
        <v>24</v>
      </c>
      <c r="BH9" s="119">
        <v>2027</v>
      </c>
      <c r="BI9" s="120">
        <f t="shared" si="1"/>
        <v>26559</v>
      </c>
      <c r="BJ9" s="121">
        <v>15.5</v>
      </c>
      <c r="BK9" s="122">
        <f t="shared" si="2"/>
        <v>411664.5</v>
      </c>
    </row>
    <row r="10" spans="1:63" ht="12.75">
      <c r="A10" s="117" t="s">
        <v>173</v>
      </c>
      <c r="B10" s="117">
        <f aca="true" t="shared" si="6" ref="B10:I10">(B7+B9)/2</f>
        <v>0.22635730836405768</v>
      </c>
      <c r="C10" s="117">
        <f t="shared" si="6"/>
        <v>0.35675822743064</v>
      </c>
      <c r="D10" s="117">
        <f t="shared" si="6"/>
        <v>0.13408779195059684</v>
      </c>
      <c r="E10" s="117">
        <f t="shared" si="6"/>
        <v>0.020443804172263567</v>
      </c>
      <c r="F10" s="117">
        <f t="shared" si="6"/>
        <v>0.11555607959464363</v>
      </c>
      <c r="G10" s="117">
        <f t="shared" si="6"/>
        <v>0.013338705296900101</v>
      </c>
      <c r="H10" s="117">
        <f t="shared" si="6"/>
        <v>0.1334580831908982</v>
      </c>
      <c r="I10" s="117">
        <f t="shared" si="6"/>
        <v>1</v>
      </c>
      <c r="K10" s="25" t="s">
        <v>64</v>
      </c>
      <c r="L10" s="29">
        <v>3000</v>
      </c>
      <c r="M10" s="24">
        <v>0.25</v>
      </c>
      <c r="N10" s="24"/>
      <c r="O10" s="24"/>
      <c r="P10" s="12">
        <v>15</v>
      </c>
      <c r="Q10" s="12"/>
      <c r="R10" s="31" t="s">
        <v>306</v>
      </c>
      <c r="S10" s="31">
        <f>L10</f>
        <v>3000</v>
      </c>
      <c r="T10" s="6">
        <f>S10*0.75</f>
        <v>2250</v>
      </c>
      <c r="U10" s="6">
        <f>T10*0.75</f>
        <v>1687.5</v>
      </c>
      <c r="V10" s="6">
        <f>U10*0.7</f>
        <v>1181.25</v>
      </c>
      <c r="W10" s="6">
        <f>V10*0.7</f>
        <v>826.875</v>
      </c>
      <c r="X10" s="6">
        <f>W10*0.7</f>
        <v>578.8125</v>
      </c>
      <c r="Y10" s="6">
        <f>X10*0.7</f>
        <v>405.16875</v>
      </c>
      <c r="BC10" s="123"/>
      <c r="BD10" s="8" t="s">
        <v>25</v>
      </c>
      <c r="BE10" s="119">
        <v>25099</v>
      </c>
      <c r="BF10" s="123"/>
      <c r="BG10" s="8" t="s">
        <v>25</v>
      </c>
      <c r="BH10" s="119">
        <v>904</v>
      </c>
      <c r="BI10" s="120">
        <f t="shared" si="1"/>
        <v>26003</v>
      </c>
      <c r="BJ10" s="121">
        <v>18</v>
      </c>
      <c r="BK10" s="122">
        <f t="shared" si="2"/>
        <v>468054</v>
      </c>
    </row>
    <row r="11" spans="1:63" ht="12.75">
      <c r="A11" s="20" t="s">
        <v>174</v>
      </c>
      <c r="B11" s="2"/>
      <c r="C11" s="2"/>
      <c r="D11" s="2"/>
      <c r="E11" s="2"/>
      <c r="F11" s="2"/>
      <c r="G11" s="2"/>
      <c r="H11" s="2"/>
      <c r="I11" s="2"/>
      <c r="K11" s="25"/>
      <c r="L11" s="29"/>
      <c r="M11" s="24"/>
      <c r="N11" s="24"/>
      <c r="O11" s="24"/>
      <c r="P11" s="12"/>
      <c r="Q11" s="12"/>
      <c r="R11" s="2" t="s">
        <v>308</v>
      </c>
      <c r="S11" s="11">
        <v>1</v>
      </c>
      <c r="T11" s="11">
        <v>1</v>
      </c>
      <c r="U11" s="11">
        <v>1</v>
      </c>
      <c r="V11" s="11">
        <v>1</v>
      </c>
      <c r="W11" s="11">
        <v>1</v>
      </c>
      <c r="X11" s="11">
        <v>1</v>
      </c>
      <c r="Y11" s="11">
        <v>1</v>
      </c>
      <c r="BC11" s="123"/>
      <c r="BD11" s="8" t="s">
        <v>26</v>
      </c>
      <c r="BE11" s="119">
        <v>106941</v>
      </c>
      <c r="BF11" s="121"/>
      <c r="BG11" s="8" t="s">
        <v>26</v>
      </c>
      <c r="BH11" s="119">
        <v>5373</v>
      </c>
      <c r="BI11" s="120">
        <f t="shared" si="1"/>
        <v>112314</v>
      </c>
      <c r="BJ11" s="121"/>
      <c r="BK11" s="122"/>
    </row>
    <row r="12" spans="1:63" ht="12.75">
      <c r="A12" s="55" t="s">
        <v>7</v>
      </c>
      <c r="B12" s="55" t="s">
        <v>162</v>
      </c>
      <c r="C12" s="56" t="s">
        <v>163</v>
      </c>
      <c r="D12" s="56" t="s">
        <v>164</v>
      </c>
      <c r="E12" s="56" t="s">
        <v>165</v>
      </c>
      <c r="F12" s="56" t="s">
        <v>166</v>
      </c>
      <c r="G12" s="56" t="s">
        <v>167</v>
      </c>
      <c r="H12" s="56" t="s">
        <v>168</v>
      </c>
      <c r="I12" s="57" t="s">
        <v>169</v>
      </c>
      <c r="K12" s="25"/>
      <c r="L12" s="29"/>
      <c r="M12" s="24"/>
      <c r="N12" s="24"/>
      <c r="O12" s="24"/>
      <c r="P12" s="12"/>
      <c r="Q12" s="12"/>
      <c r="R12" s="113">
        <f>SUM(S12:Y12)</f>
        <v>9929.60625</v>
      </c>
      <c r="S12" s="31">
        <f>S11*S10</f>
        <v>3000</v>
      </c>
      <c r="T12" s="31">
        <f aca="true" t="shared" si="7" ref="T12:Y12">T11*T10</f>
        <v>2250</v>
      </c>
      <c r="U12" s="31">
        <f t="shared" si="7"/>
        <v>1687.5</v>
      </c>
      <c r="V12" s="31">
        <f t="shared" si="7"/>
        <v>1181.25</v>
      </c>
      <c r="W12" s="31">
        <f t="shared" si="7"/>
        <v>826.875</v>
      </c>
      <c r="X12" s="31">
        <f t="shared" si="7"/>
        <v>578.8125</v>
      </c>
      <c r="Y12" s="31">
        <f t="shared" si="7"/>
        <v>405.16875</v>
      </c>
      <c r="BC12" s="123"/>
      <c r="BD12" s="8" t="s">
        <v>27</v>
      </c>
      <c r="BE12" s="119">
        <v>8307</v>
      </c>
      <c r="BF12" s="121"/>
      <c r="BG12" s="8" t="s">
        <v>27</v>
      </c>
      <c r="BH12" s="119">
        <v>75</v>
      </c>
      <c r="BI12" s="120">
        <f t="shared" si="1"/>
        <v>8382</v>
      </c>
      <c r="BJ12" s="121">
        <v>25</v>
      </c>
      <c r="BK12" s="122">
        <f t="shared" si="2"/>
        <v>209550</v>
      </c>
    </row>
    <row r="13" spans="1:63" ht="12.75">
      <c r="A13" s="52"/>
      <c r="B13" s="52"/>
      <c r="C13" s="53" t="s">
        <v>170</v>
      </c>
      <c r="D13" s="53"/>
      <c r="E13" s="53"/>
      <c r="F13" s="53" t="s">
        <v>171</v>
      </c>
      <c r="G13" s="53"/>
      <c r="H13" s="53"/>
      <c r="I13" s="54"/>
      <c r="K13" s="25" t="s">
        <v>303</v>
      </c>
      <c r="L13" s="29">
        <v>874000</v>
      </c>
      <c r="M13" s="301">
        <v>0.2025</v>
      </c>
      <c r="N13" s="22">
        <v>0.3</v>
      </c>
      <c r="O13" s="22">
        <v>0.15</v>
      </c>
      <c r="P13" s="12">
        <v>10</v>
      </c>
      <c r="Q13" s="22"/>
      <c r="R13" s="31" t="s">
        <v>309</v>
      </c>
      <c r="S13" s="31">
        <f>L13</f>
        <v>874000</v>
      </c>
      <c r="T13" s="31">
        <f>S13*(1-$M$13)</f>
        <v>697015</v>
      </c>
      <c r="U13" s="31">
        <f>T13*(1-$M$13)</f>
        <v>555869.4625</v>
      </c>
      <c r="V13" s="31">
        <f>U13*(1-$M$13)</f>
        <v>443305.89634375</v>
      </c>
      <c r="W13" s="31">
        <f>V13*(1-$N$13)</f>
        <v>310314.127440625</v>
      </c>
      <c r="X13" s="31">
        <f>W13*(1-$N$13)</f>
        <v>217219.88920843747</v>
      </c>
      <c r="Y13" s="31">
        <f>X13*(1-$N$13)</f>
        <v>152053.9224459062</v>
      </c>
      <c r="Z13" s="31">
        <f>Y13*(1-$N$13)</f>
        <v>106437.74571213435</v>
      </c>
      <c r="AA13" s="31">
        <f>Z13*(1-$O$13)</f>
        <v>90472.0838553142</v>
      </c>
      <c r="AB13" s="31">
        <f>AA13*(1-$O$13)</f>
        <v>76901.27127701706</v>
      </c>
      <c r="BC13" s="123"/>
      <c r="BD13" s="8" t="s">
        <v>28</v>
      </c>
      <c r="BE13" s="119">
        <v>2608</v>
      </c>
      <c r="BF13" s="121"/>
      <c r="BG13" s="8" t="s">
        <v>28</v>
      </c>
      <c r="BH13" s="119">
        <v>72</v>
      </c>
      <c r="BI13" s="120">
        <f t="shared" si="1"/>
        <v>2680</v>
      </c>
      <c r="BJ13" s="121">
        <v>30</v>
      </c>
      <c r="BK13" s="122">
        <f t="shared" si="2"/>
        <v>80400</v>
      </c>
    </row>
    <row r="14" spans="1:63" ht="12.75">
      <c r="A14" s="115">
        <v>2005</v>
      </c>
      <c r="B14" s="118">
        <v>1015</v>
      </c>
      <c r="C14" s="115">
        <v>891</v>
      </c>
      <c r="D14" s="115">
        <v>1331</v>
      </c>
      <c r="E14" s="115">
        <v>26</v>
      </c>
      <c r="F14" s="115">
        <v>315</v>
      </c>
      <c r="G14" s="115">
        <v>95</v>
      </c>
      <c r="H14" s="115">
        <v>456</v>
      </c>
      <c r="I14" s="116">
        <v>4129</v>
      </c>
      <c r="K14" s="25"/>
      <c r="L14" s="29"/>
      <c r="M14" s="24"/>
      <c r="N14" s="24"/>
      <c r="O14" s="24"/>
      <c r="P14" s="12"/>
      <c r="Q14" s="12"/>
      <c r="R14" s="31" t="s">
        <v>310</v>
      </c>
      <c r="S14" s="31">
        <v>874000</v>
      </c>
      <c r="T14" s="31">
        <v>697015</v>
      </c>
      <c r="U14" s="31">
        <v>555869.4625</v>
      </c>
      <c r="V14" s="31">
        <v>443305.89634375</v>
      </c>
      <c r="W14" s="31">
        <v>286000</v>
      </c>
      <c r="X14" s="31">
        <v>141000</v>
      </c>
      <c r="Y14" s="31">
        <v>126000</v>
      </c>
      <c r="Z14" s="31">
        <v>111000</v>
      </c>
      <c r="AA14" s="31">
        <v>96000</v>
      </c>
      <c r="AB14" s="31">
        <v>81000</v>
      </c>
      <c r="AC14" s="31"/>
      <c r="AH14" s="31">
        <v>80000</v>
      </c>
      <c r="BC14" s="123"/>
      <c r="BD14" s="8" t="s">
        <v>29</v>
      </c>
      <c r="BE14" s="119">
        <v>631</v>
      </c>
      <c r="BF14" s="121"/>
      <c r="BG14" s="8" t="s">
        <v>29</v>
      </c>
      <c r="BH14" s="119">
        <v>45</v>
      </c>
      <c r="BI14" s="120">
        <f t="shared" si="1"/>
        <v>676</v>
      </c>
      <c r="BJ14" s="121">
        <v>37.5</v>
      </c>
      <c r="BK14" s="122">
        <f t="shared" si="2"/>
        <v>25350</v>
      </c>
    </row>
    <row r="15" spans="1:63" ht="12.75">
      <c r="A15" s="117"/>
      <c r="B15" s="117">
        <f>B14/$I$14</f>
        <v>0.2458222329861952</v>
      </c>
      <c r="C15" s="117">
        <f aca="true" t="shared" si="8" ref="C15:I15">C14/$I$14</f>
        <v>0.2157907483652216</v>
      </c>
      <c r="D15" s="117">
        <f t="shared" si="8"/>
        <v>0.32235408089125694</v>
      </c>
      <c r="E15" s="117">
        <f t="shared" si="8"/>
        <v>0.006296924194720271</v>
      </c>
      <c r="F15" s="117">
        <f t="shared" si="8"/>
        <v>0.07628965851295713</v>
      </c>
      <c r="G15" s="117">
        <f t="shared" si="8"/>
        <v>0.023007992249939452</v>
      </c>
      <c r="H15" s="117">
        <f t="shared" si="8"/>
        <v>0.11043836279970937</v>
      </c>
      <c r="I15" s="117">
        <f t="shared" si="8"/>
        <v>1</v>
      </c>
      <c r="K15" s="25"/>
      <c r="L15" s="29"/>
      <c r="M15" s="24"/>
      <c r="N15" s="24"/>
      <c r="O15" s="24"/>
      <c r="P15" s="12"/>
      <c r="Q15" s="12"/>
      <c r="R15" s="31" t="s">
        <v>173</v>
      </c>
      <c r="S15" s="31">
        <f aca="true" t="shared" si="9" ref="S15:AB15">SUM(S13:S14)/2</f>
        <v>874000</v>
      </c>
      <c r="T15" s="31">
        <f t="shared" si="9"/>
        <v>697015</v>
      </c>
      <c r="U15" s="31">
        <f t="shared" si="9"/>
        <v>555869.4625</v>
      </c>
      <c r="V15" s="31">
        <f t="shared" si="9"/>
        <v>443305.89634375</v>
      </c>
      <c r="W15" s="31">
        <f t="shared" si="9"/>
        <v>298157.0637203125</v>
      </c>
      <c r="X15" s="31">
        <f t="shared" si="9"/>
        <v>179109.94460421873</v>
      </c>
      <c r="Y15" s="31">
        <f t="shared" si="9"/>
        <v>139026.9612229531</v>
      </c>
      <c r="Z15" s="31">
        <f t="shared" si="9"/>
        <v>108718.87285606717</v>
      </c>
      <c r="AA15" s="31">
        <f t="shared" si="9"/>
        <v>93236.04192765709</v>
      </c>
      <c r="AB15" s="31">
        <f t="shared" si="9"/>
        <v>78950.63563850854</v>
      </c>
      <c r="AC15" s="31"/>
      <c r="BC15" s="123"/>
      <c r="BD15" s="8" t="s">
        <v>30</v>
      </c>
      <c r="BE15" s="119">
        <v>486</v>
      </c>
      <c r="BF15" s="121"/>
      <c r="BG15" s="8" t="s">
        <v>30</v>
      </c>
      <c r="BH15" s="119">
        <v>37</v>
      </c>
      <c r="BI15" s="120">
        <f t="shared" si="1"/>
        <v>523</v>
      </c>
      <c r="BJ15" s="121">
        <v>45</v>
      </c>
      <c r="BK15" s="122">
        <f t="shared" si="2"/>
        <v>23535</v>
      </c>
    </row>
    <row r="16" spans="1:63" ht="12.75">
      <c r="A16" s="115">
        <v>2006</v>
      </c>
      <c r="B16" s="118">
        <v>1029</v>
      </c>
      <c r="C16" s="115">
        <v>1018</v>
      </c>
      <c r="D16" s="115">
        <v>1494</v>
      </c>
      <c r="E16" s="115">
        <v>22</v>
      </c>
      <c r="F16" s="115">
        <v>359</v>
      </c>
      <c r="G16" s="115">
        <v>98</v>
      </c>
      <c r="H16" s="115">
        <v>655</v>
      </c>
      <c r="I16" s="116">
        <v>4675</v>
      </c>
      <c r="K16" s="25"/>
      <c r="L16" s="29"/>
      <c r="M16" s="24"/>
      <c r="N16" s="24"/>
      <c r="O16" s="24"/>
      <c r="P16" s="12"/>
      <c r="Q16" s="12"/>
      <c r="R16" s="2" t="s">
        <v>308</v>
      </c>
      <c r="S16" s="11">
        <v>1</v>
      </c>
      <c r="T16" s="11">
        <v>1</v>
      </c>
      <c r="U16" s="11">
        <v>1</v>
      </c>
      <c r="V16" s="11">
        <v>1</v>
      </c>
      <c r="W16" s="11">
        <v>0.94</v>
      </c>
      <c r="X16" s="11">
        <v>0.88</v>
      </c>
      <c r="Y16" s="11">
        <v>0.82</v>
      </c>
      <c r="Z16" s="11">
        <v>0.76</v>
      </c>
      <c r="AA16" s="11">
        <v>0.68</v>
      </c>
      <c r="AB16" s="11">
        <v>0.6</v>
      </c>
      <c r="AC16" s="11"/>
      <c r="AD16" s="11"/>
      <c r="BC16" s="123"/>
      <c r="BD16" s="8" t="s">
        <v>31</v>
      </c>
      <c r="BE16" s="119">
        <v>434</v>
      </c>
      <c r="BF16" s="121"/>
      <c r="BG16" s="8" t="s">
        <v>31</v>
      </c>
      <c r="BH16" s="119">
        <v>48</v>
      </c>
      <c r="BI16" s="120">
        <f t="shared" si="1"/>
        <v>482</v>
      </c>
      <c r="BJ16" s="121">
        <v>65</v>
      </c>
      <c r="BK16" s="122">
        <f t="shared" si="2"/>
        <v>31330</v>
      </c>
    </row>
    <row r="17" spans="1:63" ht="12.75">
      <c r="A17" s="117"/>
      <c r="B17" s="117">
        <f>B16/$I$16</f>
        <v>0.22010695187165774</v>
      </c>
      <c r="C17" s="117">
        <f aca="true" t="shared" si="10" ref="C17:I17">C16/$I$16</f>
        <v>0.21775401069518716</v>
      </c>
      <c r="D17" s="117">
        <f t="shared" si="10"/>
        <v>0.319572192513369</v>
      </c>
      <c r="E17" s="117">
        <f t="shared" si="10"/>
        <v>0.004705882352941176</v>
      </c>
      <c r="F17" s="117">
        <f t="shared" si="10"/>
        <v>0.07679144385026739</v>
      </c>
      <c r="G17" s="117">
        <f t="shared" si="10"/>
        <v>0.020962566844919785</v>
      </c>
      <c r="H17" s="117">
        <f t="shared" si="10"/>
        <v>0.14010695187165775</v>
      </c>
      <c r="I17" s="117">
        <f t="shared" si="10"/>
        <v>1</v>
      </c>
      <c r="K17" s="25"/>
      <c r="L17" s="29"/>
      <c r="M17" s="24"/>
      <c r="N17" s="24"/>
      <c r="O17" s="24"/>
      <c r="P17" s="12"/>
      <c r="Q17" s="12"/>
      <c r="R17" s="113">
        <f>SUM(S17:AB17)</f>
        <v>3315474.0914599</v>
      </c>
      <c r="S17" s="31">
        <f>S15*S16</f>
        <v>874000</v>
      </c>
      <c r="T17" s="31">
        <f aca="true" t="shared" si="11" ref="T17:AB17">T15*T16</f>
        <v>697015</v>
      </c>
      <c r="U17" s="31">
        <f t="shared" si="11"/>
        <v>555869.4625</v>
      </c>
      <c r="V17" s="31">
        <f t="shared" si="11"/>
        <v>443305.89634375</v>
      </c>
      <c r="W17" s="31">
        <f t="shared" si="11"/>
        <v>280267.6398970937</v>
      </c>
      <c r="X17" s="31">
        <f t="shared" si="11"/>
        <v>157616.7512517125</v>
      </c>
      <c r="Y17" s="31">
        <f t="shared" si="11"/>
        <v>114002.10820282155</v>
      </c>
      <c r="Z17" s="31">
        <f t="shared" si="11"/>
        <v>82626.34337061105</v>
      </c>
      <c r="AA17" s="31">
        <f t="shared" si="11"/>
        <v>63400.50851080682</v>
      </c>
      <c r="AB17" s="31">
        <f t="shared" si="11"/>
        <v>47370.38138310512</v>
      </c>
      <c r="AC17" s="31"/>
      <c r="BC17" s="123"/>
      <c r="BD17" s="8" t="s">
        <v>32</v>
      </c>
      <c r="BE17" s="119">
        <v>170</v>
      </c>
      <c r="BF17" s="121"/>
      <c r="BG17" s="8" t="s">
        <v>32</v>
      </c>
      <c r="BH17" s="119">
        <v>12</v>
      </c>
      <c r="BI17" s="120">
        <f t="shared" si="1"/>
        <v>182</v>
      </c>
      <c r="BJ17" s="121">
        <v>77.5</v>
      </c>
      <c r="BK17" s="122">
        <f t="shared" si="2"/>
        <v>14105</v>
      </c>
    </row>
    <row r="18" spans="1:63" ht="12.75">
      <c r="A18" s="117" t="s">
        <v>173</v>
      </c>
      <c r="B18" s="117">
        <f aca="true" t="shared" si="12" ref="B18:I18">(B15+B17)/2</f>
        <v>0.23296459242892648</v>
      </c>
      <c r="C18" s="117">
        <f t="shared" si="12"/>
        <v>0.2167723795302044</v>
      </c>
      <c r="D18" s="117">
        <f t="shared" si="12"/>
        <v>0.32096313670231297</v>
      </c>
      <c r="E18" s="117">
        <f t="shared" si="12"/>
        <v>0.005501403273830724</v>
      </c>
      <c r="F18" s="117">
        <f t="shared" si="12"/>
        <v>0.07654055118161227</v>
      </c>
      <c r="G18" s="117">
        <f t="shared" si="12"/>
        <v>0.02198527954742962</v>
      </c>
      <c r="H18" s="117">
        <f t="shared" si="12"/>
        <v>0.12527265733568355</v>
      </c>
      <c r="I18" s="117">
        <f t="shared" si="12"/>
        <v>1</v>
      </c>
      <c r="K18" s="25" t="s">
        <v>327</v>
      </c>
      <c r="L18" s="29" t="s">
        <v>13</v>
      </c>
      <c r="M18" s="24"/>
      <c r="N18" s="24"/>
      <c r="O18" s="24"/>
      <c r="P18" s="12">
        <v>12</v>
      </c>
      <c r="Q18" s="22"/>
      <c r="R18" s="31" t="s">
        <v>304</v>
      </c>
      <c r="S18" s="31">
        <v>166807</v>
      </c>
      <c r="T18" s="31">
        <v>147987</v>
      </c>
      <c r="U18" s="31">
        <v>316910.5375</v>
      </c>
      <c r="V18" s="31">
        <v>322254.10365625</v>
      </c>
      <c r="W18" s="31">
        <v>211288</v>
      </c>
      <c r="X18" s="31">
        <v>176527</v>
      </c>
      <c r="Y18" s="31">
        <v>101882</v>
      </c>
      <c r="Z18" s="31">
        <v>151714</v>
      </c>
      <c r="AA18" s="31">
        <v>195556</v>
      </c>
      <c r="AB18" s="31">
        <v>123800</v>
      </c>
      <c r="AC18" s="31">
        <v>120000</v>
      </c>
      <c r="AD18" s="31">
        <v>120000</v>
      </c>
      <c r="BC18" s="123"/>
      <c r="BD18" s="8" t="s">
        <v>33</v>
      </c>
      <c r="BE18" s="119">
        <v>61</v>
      </c>
      <c r="BF18" s="121"/>
      <c r="BG18" s="8" t="s">
        <v>33</v>
      </c>
      <c r="BH18" s="119">
        <v>9</v>
      </c>
      <c r="BI18" s="120">
        <f t="shared" si="1"/>
        <v>70</v>
      </c>
      <c r="BJ18" s="121">
        <v>90</v>
      </c>
      <c r="BK18" s="122">
        <f t="shared" si="2"/>
        <v>6300</v>
      </c>
    </row>
    <row r="19" spans="1:63" ht="12.75">
      <c r="A19" s="20" t="s">
        <v>191</v>
      </c>
      <c r="B19" s="20"/>
      <c r="C19" s="20"/>
      <c r="D19" s="20"/>
      <c r="E19" s="20"/>
      <c r="F19" s="20"/>
      <c r="G19" s="20"/>
      <c r="H19" s="20"/>
      <c r="I19" s="20"/>
      <c r="K19" s="25"/>
      <c r="L19" s="29"/>
      <c r="M19" s="24"/>
      <c r="N19" s="24"/>
      <c r="O19" s="24"/>
      <c r="P19" s="12"/>
      <c r="Q19" s="12"/>
      <c r="R19" s="2" t="s">
        <v>305</v>
      </c>
      <c r="S19" s="11">
        <v>1</v>
      </c>
      <c r="T19" s="11">
        <v>1</v>
      </c>
      <c r="U19" s="11">
        <v>1</v>
      </c>
      <c r="V19" s="11">
        <v>1</v>
      </c>
      <c r="W19" s="11">
        <v>0.8</v>
      </c>
      <c r="X19" s="11">
        <v>0.8</v>
      </c>
      <c r="Y19" s="11">
        <v>0.7</v>
      </c>
      <c r="Z19" s="11">
        <v>0.7</v>
      </c>
      <c r="AA19" s="11">
        <v>0.7</v>
      </c>
      <c r="AB19" s="11">
        <v>0.6</v>
      </c>
      <c r="AC19" s="11">
        <v>0.55</v>
      </c>
      <c r="AD19" s="11">
        <v>0.5</v>
      </c>
      <c r="AH19" s="31"/>
      <c r="BC19" s="123"/>
      <c r="BD19" s="8" t="s">
        <v>34</v>
      </c>
      <c r="BE19" s="119">
        <v>58</v>
      </c>
      <c r="BF19" s="121"/>
      <c r="BG19" s="8" t="s">
        <v>34</v>
      </c>
      <c r="BH19" s="119">
        <v>27</v>
      </c>
      <c r="BI19" s="120">
        <f t="shared" si="1"/>
        <v>85</v>
      </c>
      <c r="BJ19" s="121">
        <v>120</v>
      </c>
      <c r="BK19" s="122">
        <f t="shared" si="2"/>
        <v>10200</v>
      </c>
    </row>
    <row r="20" spans="1:63" ht="12.75">
      <c r="A20" s="55" t="s">
        <v>7</v>
      </c>
      <c r="B20" s="55" t="s">
        <v>162</v>
      </c>
      <c r="C20" s="56" t="s">
        <v>163</v>
      </c>
      <c r="D20" s="56" t="s">
        <v>164</v>
      </c>
      <c r="E20" s="56" t="s">
        <v>165</v>
      </c>
      <c r="F20" s="56" t="s">
        <v>166</v>
      </c>
      <c r="G20" s="56" t="s">
        <v>167</v>
      </c>
      <c r="H20" s="56" t="s">
        <v>168</v>
      </c>
      <c r="I20" s="57" t="s">
        <v>169</v>
      </c>
      <c r="K20" s="25"/>
      <c r="L20" s="29"/>
      <c r="M20" s="24"/>
      <c r="N20" s="24"/>
      <c r="O20" s="24"/>
      <c r="P20" s="12"/>
      <c r="Q20" s="12"/>
      <c r="R20" s="31" t="s">
        <v>169</v>
      </c>
      <c r="S20" s="31">
        <f>S18/S19</f>
        <v>166807</v>
      </c>
      <c r="T20" s="31">
        <f aca="true" t="shared" si="13" ref="T20:AD20">T18/T19</f>
        <v>147987</v>
      </c>
      <c r="U20" s="31">
        <f t="shared" si="13"/>
        <v>316910.5375</v>
      </c>
      <c r="V20" s="31">
        <f t="shared" si="13"/>
        <v>322254.10365625</v>
      </c>
      <c r="W20" s="31">
        <f t="shared" si="13"/>
        <v>264110</v>
      </c>
      <c r="X20" s="31">
        <f t="shared" si="13"/>
        <v>220658.75</v>
      </c>
      <c r="Y20" s="31">
        <f t="shared" si="13"/>
        <v>145545.7142857143</v>
      </c>
      <c r="Z20" s="31">
        <f t="shared" si="13"/>
        <v>216734.28571428574</v>
      </c>
      <c r="AA20" s="31">
        <f t="shared" si="13"/>
        <v>279365.7142857143</v>
      </c>
      <c r="AB20" s="31">
        <f t="shared" si="13"/>
        <v>206333.33333333334</v>
      </c>
      <c r="AC20" s="31">
        <f t="shared" si="13"/>
        <v>218181.81818181818</v>
      </c>
      <c r="AD20" s="31">
        <f t="shared" si="13"/>
        <v>240000</v>
      </c>
      <c r="AH20" s="31">
        <v>230000</v>
      </c>
      <c r="BC20" s="123"/>
      <c r="BD20" s="8" t="s">
        <v>35</v>
      </c>
      <c r="BE20" s="119">
        <v>11</v>
      </c>
      <c r="BF20" s="121"/>
      <c r="BG20" s="8" t="s">
        <v>35</v>
      </c>
      <c r="BH20" s="119">
        <v>6</v>
      </c>
      <c r="BI20" s="120">
        <f t="shared" si="1"/>
        <v>17</v>
      </c>
      <c r="BJ20" s="121">
        <v>160</v>
      </c>
      <c r="BK20" s="122">
        <f t="shared" si="2"/>
        <v>2720</v>
      </c>
    </row>
    <row r="21" spans="1:63" ht="12.75">
      <c r="A21" s="52"/>
      <c r="B21" s="52"/>
      <c r="C21" s="53" t="s">
        <v>170</v>
      </c>
      <c r="D21" s="53"/>
      <c r="E21" s="53"/>
      <c r="F21" s="53" t="s">
        <v>171</v>
      </c>
      <c r="G21" s="53"/>
      <c r="H21" s="53"/>
      <c r="I21" s="54"/>
      <c r="K21" s="25"/>
      <c r="L21" s="29"/>
      <c r="M21" s="24"/>
      <c r="N21" s="24"/>
      <c r="O21" s="24"/>
      <c r="P21" s="12"/>
      <c r="Q21" s="12"/>
      <c r="R21" s="2" t="s">
        <v>308</v>
      </c>
      <c r="S21" s="11">
        <v>1</v>
      </c>
      <c r="T21" s="11">
        <v>1</v>
      </c>
      <c r="U21" s="11">
        <v>1</v>
      </c>
      <c r="V21" s="11">
        <v>0.95</v>
      </c>
      <c r="W21" s="11">
        <v>0.9</v>
      </c>
      <c r="X21" s="11">
        <v>0.85</v>
      </c>
      <c r="Y21" s="11">
        <v>0.8</v>
      </c>
      <c r="Z21" s="11">
        <v>0.75</v>
      </c>
      <c r="AA21" s="11">
        <v>0.7</v>
      </c>
      <c r="AB21" s="11">
        <v>0.65</v>
      </c>
      <c r="AC21" s="11">
        <v>0.6</v>
      </c>
      <c r="AD21" s="11">
        <v>0.55</v>
      </c>
      <c r="BC21" s="123"/>
      <c r="BD21" s="8" t="s">
        <v>36</v>
      </c>
      <c r="BE21" s="119">
        <v>6</v>
      </c>
      <c r="BF21" s="121"/>
      <c r="BG21" s="8" t="s">
        <v>36</v>
      </c>
      <c r="BH21" s="119">
        <v>15</v>
      </c>
      <c r="BI21" s="120">
        <f t="shared" si="1"/>
        <v>21</v>
      </c>
      <c r="BJ21" s="121">
        <v>250</v>
      </c>
      <c r="BK21" s="122">
        <f t="shared" si="2"/>
        <v>5250</v>
      </c>
    </row>
    <row r="22" spans="1:63" ht="12.75">
      <c r="A22" s="115">
        <v>2006</v>
      </c>
      <c r="B22" s="118">
        <v>208954</v>
      </c>
      <c r="C22" s="115">
        <v>176753</v>
      </c>
      <c r="D22" s="115">
        <v>133751</v>
      </c>
      <c r="E22" s="115">
        <v>10915</v>
      </c>
      <c r="F22" s="115">
        <v>41798</v>
      </c>
      <c r="G22" s="115">
        <v>13847</v>
      </c>
      <c r="H22" s="115">
        <v>69482</v>
      </c>
      <c r="I22" s="116">
        <v>655550</v>
      </c>
      <c r="K22" s="25"/>
      <c r="L22" s="29"/>
      <c r="M22" s="24"/>
      <c r="N22" s="24"/>
      <c r="O22" s="24"/>
      <c r="P22" s="12"/>
      <c r="Q22" s="12"/>
      <c r="R22" s="113">
        <f>SUM(S22:AD22)</f>
        <v>2234673.9167634808</v>
      </c>
      <c r="S22" s="31">
        <f>S21*S20</f>
        <v>166807</v>
      </c>
      <c r="T22" s="31">
        <f aca="true" t="shared" si="14" ref="T22:AD22">T21*T20</f>
        <v>147987</v>
      </c>
      <c r="U22" s="31">
        <f t="shared" si="14"/>
        <v>316910.5375</v>
      </c>
      <c r="V22" s="31">
        <f t="shared" si="14"/>
        <v>306141.39847343747</v>
      </c>
      <c r="W22" s="31">
        <f t="shared" si="14"/>
        <v>237699</v>
      </c>
      <c r="X22" s="31">
        <f t="shared" si="14"/>
        <v>187559.9375</v>
      </c>
      <c r="Y22" s="31">
        <f t="shared" si="14"/>
        <v>116436.57142857143</v>
      </c>
      <c r="Z22" s="31">
        <f t="shared" si="14"/>
        <v>162550.71428571432</v>
      </c>
      <c r="AA22" s="31">
        <f t="shared" si="14"/>
        <v>195556</v>
      </c>
      <c r="AB22" s="31">
        <f t="shared" si="14"/>
        <v>134116.6666666667</v>
      </c>
      <c r="AC22" s="31">
        <f t="shared" si="14"/>
        <v>130909.0909090909</v>
      </c>
      <c r="AD22" s="31">
        <f t="shared" si="14"/>
        <v>132000</v>
      </c>
      <c r="BC22" s="123"/>
      <c r="BD22" s="8" t="s">
        <v>37</v>
      </c>
      <c r="BE22" s="119">
        <v>12772</v>
      </c>
      <c r="BF22" s="121"/>
      <c r="BG22" s="8" t="s">
        <v>37</v>
      </c>
      <c r="BH22" s="119">
        <v>346</v>
      </c>
      <c r="BI22" s="120">
        <f t="shared" si="1"/>
        <v>13118</v>
      </c>
      <c r="BJ22" s="121"/>
      <c r="BK22" s="122"/>
    </row>
    <row r="23" spans="1:63" ht="12.75">
      <c r="A23" s="117"/>
      <c r="B23" s="117">
        <f aca="true" t="shared" si="15" ref="B23:I23">B22/$I$22</f>
        <v>0.3187460910685684</v>
      </c>
      <c r="C23" s="117">
        <f t="shared" si="15"/>
        <v>0.26962550530089235</v>
      </c>
      <c r="D23" s="117">
        <f t="shared" si="15"/>
        <v>0.20402867820913737</v>
      </c>
      <c r="E23" s="117">
        <f t="shared" si="15"/>
        <v>0.016650141102890703</v>
      </c>
      <c r="F23" s="117">
        <f t="shared" si="15"/>
        <v>0.06376020135763863</v>
      </c>
      <c r="G23" s="117">
        <f t="shared" si="15"/>
        <v>0.02112272137899474</v>
      </c>
      <c r="H23" s="117">
        <f t="shared" si="15"/>
        <v>0.10599038974906567</v>
      </c>
      <c r="I23" s="117">
        <f t="shared" si="15"/>
        <v>1</v>
      </c>
      <c r="K23" s="25" t="s">
        <v>41</v>
      </c>
      <c r="L23" s="29">
        <v>5194.444444444444</v>
      </c>
      <c r="M23" s="11">
        <v>0.01</v>
      </c>
      <c r="N23" s="11"/>
      <c r="O23" s="11"/>
      <c r="P23" s="12">
        <v>20</v>
      </c>
      <c r="Q23" s="12"/>
      <c r="R23" s="31" t="s">
        <v>306</v>
      </c>
      <c r="S23" s="31">
        <f>L23</f>
        <v>5194.444444444444</v>
      </c>
      <c r="T23" s="6">
        <v>4587.777777777777</v>
      </c>
      <c r="U23" s="6">
        <v>4685.555555555556</v>
      </c>
      <c r="V23" s="6">
        <v>4861.111111111111</v>
      </c>
      <c r="W23" s="51">
        <v>4800</v>
      </c>
      <c r="X23" s="51">
        <v>4800</v>
      </c>
      <c r="Y23" s="51">
        <v>4800</v>
      </c>
      <c r="Z23" s="51">
        <v>4800</v>
      </c>
      <c r="AA23" s="51">
        <v>4800</v>
      </c>
      <c r="AB23" s="51">
        <v>4800</v>
      </c>
      <c r="AC23" s="51">
        <v>4800</v>
      </c>
      <c r="AD23" s="51">
        <v>4800</v>
      </c>
      <c r="AE23" s="51">
        <v>4800</v>
      </c>
      <c r="AF23" s="51">
        <v>4800</v>
      </c>
      <c r="AG23" s="51">
        <v>4800</v>
      </c>
      <c r="AH23" s="51">
        <v>4800</v>
      </c>
      <c r="AI23" s="51">
        <v>4800</v>
      </c>
      <c r="AJ23" s="51">
        <v>4800</v>
      </c>
      <c r="AK23" s="51">
        <v>4800</v>
      </c>
      <c r="AL23" s="51">
        <v>4800</v>
      </c>
      <c r="AM23" s="51"/>
      <c r="AN23" s="51"/>
      <c r="AO23" s="51"/>
      <c r="AP23" s="51"/>
      <c r="AQ23" s="51"/>
      <c r="AR23" s="51"/>
      <c r="AS23" s="51"/>
      <c r="AT23" s="51"/>
      <c r="AU23" s="51"/>
      <c r="AV23" s="51"/>
      <c r="AW23" s="51"/>
      <c r="AX23" s="51"/>
      <c r="AY23" s="51"/>
      <c r="AZ23" s="51"/>
      <c r="BA23" s="51"/>
      <c r="BC23" s="123"/>
      <c r="BD23" s="8" t="s">
        <v>38</v>
      </c>
      <c r="BE23" s="119">
        <v>119713</v>
      </c>
      <c r="BF23" s="121"/>
      <c r="BG23" s="8" t="s">
        <v>39</v>
      </c>
      <c r="BH23" s="119">
        <v>5719</v>
      </c>
      <c r="BI23" s="120">
        <f t="shared" si="1"/>
        <v>125432</v>
      </c>
      <c r="BJ23" s="121"/>
      <c r="BK23" s="122">
        <f>SUM(BK4:BK22)</f>
        <v>1879786.5</v>
      </c>
    </row>
    <row r="24" spans="1:63" ht="12.75">
      <c r="A24" s="115">
        <v>2003</v>
      </c>
      <c r="B24" s="118">
        <v>109577</v>
      </c>
      <c r="C24" s="115">
        <v>118407</v>
      </c>
      <c r="D24" s="115">
        <v>76497</v>
      </c>
      <c r="E24" s="115">
        <v>7872</v>
      </c>
      <c r="F24" s="115">
        <v>25309</v>
      </c>
      <c r="G24" s="115">
        <v>7887</v>
      </c>
      <c r="H24" s="115">
        <v>53495</v>
      </c>
      <c r="I24" s="116">
        <f>SUM(B24:H24)</f>
        <v>399044</v>
      </c>
      <c r="K24" s="25"/>
      <c r="L24" s="29"/>
      <c r="M24" s="11"/>
      <c r="N24" s="11"/>
      <c r="O24" s="11"/>
      <c r="P24" s="12"/>
      <c r="Q24" s="12"/>
      <c r="R24" s="2" t="s">
        <v>308</v>
      </c>
      <c r="S24" s="11">
        <v>1</v>
      </c>
      <c r="T24" s="11">
        <v>1</v>
      </c>
      <c r="U24" s="11">
        <v>1</v>
      </c>
      <c r="V24" s="11">
        <v>1</v>
      </c>
      <c r="W24" s="11">
        <v>1</v>
      </c>
      <c r="X24" s="11">
        <v>0.98</v>
      </c>
      <c r="Y24" s="11">
        <v>0.95</v>
      </c>
      <c r="Z24" s="11">
        <v>0.9</v>
      </c>
      <c r="AA24" s="11">
        <v>0.85</v>
      </c>
      <c r="AB24" s="11">
        <v>0.8</v>
      </c>
      <c r="AC24" s="11">
        <v>0.75</v>
      </c>
      <c r="AD24" s="11">
        <v>0.7</v>
      </c>
      <c r="AE24" s="11">
        <v>0.62</v>
      </c>
      <c r="AF24" s="11">
        <v>0.56</v>
      </c>
      <c r="AG24" s="11">
        <v>0.5</v>
      </c>
      <c r="AH24" s="11">
        <v>0.44</v>
      </c>
      <c r="AI24" s="11">
        <v>0.38</v>
      </c>
      <c r="AJ24" s="11">
        <v>0.32</v>
      </c>
      <c r="AK24" s="11">
        <v>0.26</v>
      </c>
      <c r="AL24" s="11">
        <v>0.2</v>
      </c>
      <c r="AM24" s="11"/>
      <c r="AN24" s="11"/>
      <c r="AO24" s="11"/>
      <c r="AP24" s="11"/>
      <c r="AQ24" s="11"/>
      <c r="AR24" s="11"/>
      <c r="AS24" s="11"/>
      <c r="AT24" s="11"/>
      <c r="AU24" s="11"/>
      <c r="AV24" s="11"/>
      <c r="AW24" s="11"/>
      <c r="AX24" s="11"/>
      <c r="AY24" s="11"/>
      <c r="AZ24" s="11"/>
      <c r="BA24" s="11"/>
      <c r="BC24" s="121"/>
      <c r="BD24" s="121"/>
      <c r="BE24" s="121"/>
      <c r="BF24" s="123" t="s">
        <v>40</v>
      </c>
      <c r="BG24" s="123"/>
      <c r="BH24" s="119">
        <v>125432</v>
      </c>
      <c r="BI24" s="121"/>
      <c r="BJ24" s="121"/>
      <c r="BK24" s="124">
        <f>BK23/BI23</f>
        <v>14.986498660628866</v>
      </c>
    </row>
    <row r="25" spans="1:55" ht="12.75">
      <c r="A25" s="117"/>
      <c r="B25" s="117">
        <f aca="true" t="shared" si="16" ref="B25:G25">B24/$I$24</f>
        <v>0.2745987911107547</v>
      </c>
      <c r="C25" s="117">
        <f t="shared" si="16"/>
        <v>0.2967266767574503</v>
      </c>
      <c r="D25" s="117">
        <f t="shared" si="16"/>
        <v>0.19170066458836618</v>
      </c>
      <c r="E25" s="117">
        <f t="shared" si="16"/>
        <v>0.019727147883441425</v>
      </c>
      <c r="F25" s="117">
        <f t="shared" si="16"/>
        <v>0.0634240835597077</v>
      </c>
      <c r="G25" s="117">
        <f t="shared" si="16"/>
        <v>0.01976473772315835</v>
      </c>
      <c r="H25" s="117">
        <f>H24/$I$24</f>
        <v>0.13405789837712132</v>
      </c>
      <c r="I25" s="117">
        <f>I24/$I$24</f>
        <v>1</v>
      </c>
      <c r="K25" s="25"/>
      <c r="L25" s="29"/>
      <c r="M25" s="11"/>
      <c r="N25" s="11"/>
      <c r="O25" s="11"/>
      <c r="P25" s="12"/>
      <c r="Q25" s="12"/>
      <c r="R25" s="113">
        <f>SUM(S25:AL25)</f>
        <v>68336.88888888889</v>
      </c>
      <c r="S25" s="31">
        <f aca="true" t="shared" si="17" ref="S25:AK25">S24*S23</f>
        <v>5194.444444444444</v>
      </c>
      <c r="T25" s="31">
        <f t="shared" si="17"/>
        <v>4587.777777777777</v>
      </c>
      <c r="U25" s="31">
        <f t="shared" si="17"/>
        <v>4685.555555555556</v>
      </c>
      <c r="V25" s="31">
        <f t="shared" si="17"/>
        <v>4861.111111111111</v>
      </c>
      <c r="W25" s="31">
        <f t="shared" si="17"/>
        <v>4800</v>
      </c>
      <c r="X25" s="31">
        <f t="shared" si="17"/>
        <v>4704</v>
      </c>
      <c r="Y25" s="31">
        <f t="shared" si="17"/>
        <v>4560</v>
      </c>
      <c r="Z25" s="31">
        <f t="shared" si="17"/>
        <v>4320</v>
      </c>
      <c r="AA25" s="31">
        <f t="shared" si="17"/>
        <v>4080</v>
      </c>
      <c r="AB25" s="31">
        <f t="shared" si="17"/>
        <v>3840</v>
      </c>
      <c r="AC25" s="31">
        <f t="shared" si="17"/>
        <v>3600</v>
      </c>
      <c r="AD25" s="31">
        <f t="shared" si="17"/>
        <v>3360</v>
      </c>
      <c r="AE25" s="31">
        <f t="shared" si="17"/>
        <v>2976</v>
      </c>
      <c r="AF25" s="31">
        <f t="shared" si="17"/>
        <v>2688.0000000000005</v>
      </c>
      <c r="AG25" s="31">
        <f t="shared" si="17"/>
        <v>2400</v>
      </c>
      <c r="AH25" s="31">
        <f t="shared" si="17"/>
        <v>2112</v>
      </c>
      <c r="AI25" s="31">
        <f t="shared" si="17"/>
        <v>1824</v>
      </c>
      <c r="AJ25" s="31">
        <f t="shared" si="17"/>
        <v>1536</v>
      </c>
      <c r="AK25" s="31">
        <f t="shared" si="17"/>
        <v>1248</v>
      </c>
      <c r="AL25" s="31">
        <f>AL24*AL23</f>
        <v>960</v>
      </c>
      <c r="AM25" s="31"/>
      <c r="AN25" s="31"/>
      <c r="AO25" s="31"/>
      <c r="AP25" s="31"/>
      <c r="AQ25" s="31"/>
      <c r="AR25" s="31"/>
      <c r="AS25" s="31"/>
      <c r="AT25" s="31"/>
      <c r="AU25" s="31"/>
      <c r="AV25" s="31"/>
      <c r="AW25" s="31"/>
      <c r="AX25" s="31"/>
      <c r="AY25" s="31"/>
      <c r="AZ25" s="31"/>
      <c r="BA25" s="31"/>
      <c r="BC25" t="s">
        <v>41</v>
      </c>
    </row>
    <row r="26" spans="1:61" ht="12.75">
      <c r="A26" s="117"/>
      <c r="B26" s="116">
        <f aca="true" t="shared" si="18" ref="B26:H26">B22+B24</f>
        <v>318531</v>
      </c>
      <c r="C26" s="116">
        <f t="shared" si="18"/>
        <v>295160</v>
      </c>
      <c r="D26" s="116">
        <f t="shared" si="18"/>
        <v>210248</v>
      </c>
      <c r="E26" s="116">
        <f t="shared" si="18"/>
        <v>18787</v>
      </c>
      <c r="F26" s="116">
        <f t="shared" si="18"/>
        <v>67107</v>
      </c>
      <c r="G26" s="116">
        <f t="shared" si="18"/>
        <v>21734</v>
      </c>
      <c r="H26" s="116">
        <f t="shared" si="18"/>
        <v>122977</v>
      </c>
      <c r="I26" s="116">
        <f>I22+I24</f>
        <v>1054594</v>
      </c>
      <c r="K26" s="25" t="s">
        <v>66</v>
      </c>
      <c r="L26" s="30">
        <v>70000</v>
      </c>
      <c r="M26" s="58">
        <v>-0.03</v>
      </c>
      <c r="N26" s="46"/>
      <c r="O26" s="46"/>
      <c r="P26" s="12">
        <v>13</v>
      </c>
      <c r="Q26" s="12"/>
      <c r="R26" s="2"/>
      <c r="S26" s="31">
        <f>L26</f>
        <v>70000</v>
      </c>
      <c r="T26" s="6">
        <f>S26*(1-$M$26)</f>
        <v>72100</v>
      </c>
      <c r="U26" s="6">
        <f aca="true" t="shared" si="19" ref="U26:AD26">T26*(1-$M$26)</f>
        <v>74263</v>
      </c>
      <c r="V26" s="6">
        <f t="shared" si="19"/>
        <v>76490.89</v>
      </c>
      <c r="W26" s="6">
        <f t="shared" si="19"/>
        <v>78785.6167</v>
      </c>
      <c r="X26" s="6">
        <f t="shared" si="19"/>
        <v>81149.185201</v>
      </c>
      <c r="Y26" s="6">
        <f t="shared" si="19"/>
        <v>83583.66075703</v>
      </c>
      <c r="Z26" s="6">
        <f t="shared" si="19"/>
        <v>86091.1705797409</v>
      </c>
      <c r="AA26" s="6">
        <f t="shared" si="19"/>
        <v>88673.90569713313</v>
      </c>
      <c r="AB26" s="6">
        <f t="shared" si="19"/>
        <v>91334.12286804712</v>
      </c>
      <c r="AC26" s="6">
        <f t="shared" si="19"/>
        <v>94074.14655408854</v>
      </c>
      <c r="AD26" s="6">
        <f t="shared" si="19"/>
        <v>96896.37095071119</v>
      </c>
      <c r="BC26" s="10" t="s">
        <v>42</v>
      </c>
      <c r="BD26" s="119">
        <v>3</v>
      </c>
      <c r="BE26" s="10" t="s">
        <v>42</v>
      </c>
      <c r="BF26" s="119">
        <v>0</v>
      </c>
      <c r="BG26" s="120">
        <f aca="true" t="shared" si="20" ref="BF26:BG43">BD26+BF26</f>
        <v>3</v>
      </c>
      <c r="BH26" s="121">
        <v>7.5</v>
      </c>
      <c r="BI26" s="121">
        <f>BG26*BH26</f>
        <v>22.5</v>
      </c>
    </row>
    <row r="27" spans="1:61" ht="12.75">
      <c r="A27" s="117" t="s">
        <v>173</v>
      </c>
      <c r="B27" s="117">
        <f aca="true" t="shared" si="21" ref="B27:H27">B26/$I$26</f>
        <v>0.3020413543031726</v>
      </c>
      <c r="C27" s="117">
        <f t="shared" si="21"/>
        <v>0.2798802193071457</v>
      </c>
      <c r="D27" s="117">
        <f t="shared" si="21"/>
        <v>0.19936392583306942</v>
      </c>
      <c r="E27" s="117">
        <f t="shared" si="21"/>
        <v>0.017814438542225728</v>
      </c>
      <c r="F27" s="117">
        <f t="shared" si="21"/>
        <v>0.06363301896274776</v>
      </c>
      <c r="G27" s="117">
        <f t="shared" si="21"/>
        <v>0.020608878867128012</v>
      </c>
      <c r="H27" s="117">
        <f t="shared" si="21"/>
        <v>0.11661075257397634</v>
      </c>
      <c r="I27" s="117">
        <f>I26/$I$26</f>
        <v>1</v>
      </c>
      <c r="K27" s="25"/>
      <c r="L27" s="30"/>
      <c r="M27" s="58"/>
      <c r="N27" s="46"/>
      <c r="O27" s="46"/>
      <c r="P27" s="12"/>
      <c r="Q27" s="12"/>
      <c r="R27" s="2"/>
      <c r="S27" s="11">
        <v>1</v>
      </c>
      <c r="T27" s="11">
        <v>1</v>
      </c>
      <c r="U27" s="11">
        <v>1</v>
      </c>
      <c r="V27" s="11">
        <v>0.96</v>
      </c>
      <c r="W27" s="11">
        <v>0.92</v>
      </c>
      <c r="X27" s="11">
        <v>0.88</v>
      </c>
      <c r="Y27" s="11">
        <v>0.84</v>
      </c>
      <c r="Z27" s="11">
        <v>0.8</v>
      </c>
      <c r="AA27" s="11">
        <v>0.76</v>
      </c>
      <c r="AB27" s="11">
        <v>0.7</v>
      </c>
      <c r="AC27" s="11">
        <v>0.65</v>
      </c>
      <c r="AD27" s="11">
        <v>0.6</v>
      </c>
      <c r="BC27" s="10" t="s">
        <v>22</v>
      </c>
      <c r="BD27" s="119">
        <v>66</v>
      </c>
      <c r="BE27" s="10" t="s">
        <v>22</v>
      </c>
      <c r="BF27" s="119">
        <v>4</v>
      </c>
      <c r="BG27" s="120">
        <f t="shared" si="20"/>
        <v>70</v>
      </c>
      <c r="BH27" s="121">
        <v>10</v>
      </c>
      <c r="BI27" s="121">
        <f>BG27*BH27</f>
        <v>700</v>
      </c>
    </row>
    <row r="28" spans="11:61" ht="12.75">
      <c r="K28" s="25"/>
      <c r="L28" s="30"/>
      <c r="M28" s="58"/>
      <c r="N28" s="46"/>
      <c r="O28" s="46"/>
      <c r="P28" s="12"/>
      <c r="Q28" s="12"/>
      <c r="R28" s="113">
        <f>SUM(S28:AL28)</f>
        <v>823383.5884086163</v>
      </c>
      <c r="S28" s="31">
        <f>S27*S26</f>
        <v>70000</v>
      </c>
      <c r="T28" s="31">
        <f aca="true" t="shared" si="22" ref="T28:AD28">T27*T26</f>
        <v>72100</v>
      </c>
      <c r="U28" s="31">
        <f t="shared" si="22"/>
        <v>74263</v>
      </c>
      <c r="V28" s="31">
        <f t="shared" si="22"/>
        <v>73431.25439999999</v>
      </c>
      <c r="W28" s="31">
        <f t="shared" si="22"/>
        <v>72482.767364</v>
      </c>
      <c r="X28" s="31">
        <f t="shared" si="22"/>
        <v>71411.28297688</v>
      </c>
      <c r="Y28" s="31">
        <f t="shared" si="22"/>
        <v>70210.2750359052</v>
      </c>
      <c r="Z28" s="31">
        <f t="shared" si="22"/>
        <v>68872.93646379272</v>
      </c>
      <c r="AA28" s="31">
        <f t="shared" si="22"/>
        <v>67392.16832982119</v>
      </c>
      <c r="AB28" s="31">
        <f t="shared" si="22"/>
        <v>63933.88600763298</v>
      </c>
      <c r="AC28" s="31">
        <f t="shared" si="22"/>
        <v>61148.195260157554</v>
      </c>
      <c r="AD28" s="31">
        <f t="shared" si="22"/>
        <v>58137.82257042672</v>
      </c>
      <c r="BC28" s="10" t="s">
        <v>23</v>
      </c>
      <c r="BD28" s="119">
        <v>126</v>
      </c>
      <c r="BE28" s="10" t="s">
        <v>23</v>
      </c>
      <c r="BF28" s="119">
        <v>6</v>
      </c>
      <c r="BG28" s="120">
        <f t="shared" si="20"/>
        <v>132</v>
      </c>
      <c r="BH28" s="121">
        <v>12.5</v>
      </c>
      <c r="BI28" s="121">
        <f>BG28*BH28</f>
        <v>1650</v>
      </c>
    </row>
    <row r="29" spans="11:61" ht="12.75">
      <c r="K29" s="25" t="s">
        <v>52</v>
      </c>
      <c r="L29" s="29">
        <v>69130</v>
      </c>
      <c r="M29" s="23">
        <v>0.06</v>
      </c>
      <c r="N29" s="23"/>
      <c r="O29" s="23"/>
      <c r="P29" s="2">
        <v>15</v>
      </c>
      <c r="Q29" s="2"/>
      <c r="R29" s="31" t="s">
        <v>306</v>
      </c>
      <c r="S29" s="6">
        <v>65491.68715789475</v>
      </c>
      <c r="T29" s="6">
        <v>61784.610526315795</v>
      </c>
      <c r="U29" s="6">
        <v>58287.36842105263</v>
      </c>
      <c r="V29" s="6">
        <v>59930.52631578947</v>
      </c>
      <c r="W29" s="6">
        <v>55855.78947368421</v>
      </c>
      <c r="X29" s="6">
        <v>48658.94736842105</v>
      </c>
      <c r="Y29" s="6">
        <v>52242.1052631579</v>
      </c>
      <c r="Z29" s="6">
        <v>51163.15789473685</v>
      </c>
      <c r="AA29" s="50">
        <f>Z29*0.973</f>
        <v>49781.75263157895</v>
      </c>
      <c r="AB29" s="50">
        <f aca="true" t="shared" si="23" ref="AB29:AL29">AA29*0.973</f>
        <v>48437.64531052632</v>
      </c>
      <c r="AC29" s="50">
        <f t="shared" si="23"/>
        <v>47129.82888714211</v>
      </c>
      <c r="AD29" s="50">
        <f>AC29*0.973</f>
        <v>45857.32350718927</v>
      </c>
      <c r="AE29" s="50">
        <f t="shared" si="23"/>
        <v>44619.17577249516</v>
      </c>
      <c r="AF29" s="50">
        <f t="shared" si="23"/>
        <v>43414.45802663779</v>
      </c>
      <c r="AG29" s="50">
        <f t="shared" si="23"/>
        <v>42242.267659918565</v>
      </c>
      <c r="AH29" s="50">
        <f t="shared" si="23"/>
        <v>41101.72643310076</v>
      </c>
      <c r="AI29" s="50">
        <f t="shared" si="23"/>
        <v>39991.97981940704</v>
      </c>
      <c r="AJ29" s="50">
        <f t="shared" si="23"/>
        <v>38912.196364283045</v>
      </c>
      <c r="AK29" s="50">
        <f t="shared" si="23"/>
        <v>37861.5670624474</v>
      </c>
      <c r="AL29" s="50">
        <f t="shared" si="23"/>
        <v>36839.30475176132</v>
      </c>
      <c r="AM29" s="50"/>
      <c r="AN29" s="50"/>
      <c r="AO29" s="50"/>
      <c r="AP29" s="50"/>
      <c r="AQ29" s="50"/>
      <c r="AR29" s="50"/>
      <c r="AS29" s="50"/>
      <c r="AT29" s="50"/>
      <c r="AU29" s="50"/>
      <c r="AV29" s="50"/>
      <c r="AW29" s="50"/>
      <c r="AX29" s="50"/>
      <c r="AY29" s="50"/>
      <c r="AZ29" s="50"/>
      <c r="BA29" s="50"/>
      <c r="BC29" s="10" t="s">
        <v>24</v>
      </c>
      <c r="BD29" s="119">
        <v>199</v>
      </c>
      <c r="BE29" s="10" t="s">
        <v>43</v>
      </c>
      <c r="BF29" s="119">
        <v>125</v>
      </c>
      <c r="BG29" s="120">
        <f t="shared" si="20"/>
        <v>324</v>
      </c>
      <c r="BH29" s="121">
        <v>15.5</v>
      </c>
      <c r="BI29" s="121">
        <f>BG29*BH29</f>
        <v>5022</v>
      </c>
    </row>
    <row r="30" spans="11:61" ht="12.75">
      <c r="K30" s="25"/>
      <c r="L30" s="29"/>
      <c r="M30" s="23"/>
      <c r="N30" s="23"/>
      <c r="O30" s="23"/>
      <c r="P30" s="2"/>
      <c r="Q30" s="2"/>
      <c r="R30" s="2" t="s">
        <v>308</v>
      </c>
      <c r="S30" s="11">
        <v>1</v>
      </c>
      <c r="T30" s="11">
        <v>1</v>
      </c>
      <c r="U30" s="11">
        <v>1</v>
      </c>
      <c r="V30" s="11">
        <v>1</v>
      </c>
      <c r="W30" s="11">
        <v>1</v>
      </c>
      <c r="X30" s="11">
        <v>1</v>
      </c>
      <c r="Y30" s="11">
        <v>0.975</v>
      </c>
      <c r="Z30" s="11">
        <v>0.95</v>
      </c>
      <c r="AA30" s="11">
        <v>0.9</v>
      </c>
      <c r="AB30" s="11">
        <v>0.8</v>
      </c>
      <c r="AC30" s="11">
        <v>0.7</v>
      </c>
      <c r="AD30" s="11">
        <v>0.6</v>
      </c>
      <c r="AE30" s="11">
        <v>0.5</v>
      </c>
      <c r="AF30" s="11">
        <v>0.4</v>
      </c>
      <c r="AG30" s="11">
        <v>0.3</v>
      </c>
      <c r="AH30" s="11">
        <v>0.25</v>
      </c>
      <c r="AI30" s="11">
        <v>0.2</v>
      </c>
      <c r="AJ30" s="11">
        <v>0.15</v>
      </c>
      <c r="AK30" s="11">
        <v>0.1</v>
      </c>
      <c r="AL30" s="11">
        <v>0.05</v>
      </c>
      <c r="BC30" s="10" t="s">
        <v>25</v>
      </c>
      <c r="BD30" s="119">
        <v>279</v>
      </c>
      <c r="BE30" s="10" t="s">
        <v>25</v>
      </c>
      <c r="BF30" s="119">
        <v>29</v>
      </c>
      <c r="BG30" s="120">
        <f t="shared" si="20"/>
        <v>308</v>
      </c>
      <c r="BH30" s="121">
        <v>18</v>
      </c>
      <c r="BI30" s="121">
        <f>BG30*BH30</f>
        <v>5544</v>
      </c>
    </row>
    <row r="31" spans="11:61" ht="12.75">
      <c r="K31" s="25"/>
      <c r="L31" s="29"/>
      <c r="M31" s="23"/>
      <c r="N31" s="23"/>
      <c r="O31" s="23"/>
      <c r="P31" s="2"/>
      <c r="Q31" s="2"/>
      <c r="R31" s="113">
        <f>SUM(S31:AL31)</f>
        <v>675695.780202402</v>
      </c>
      <c r="S31" s="6">
        <f>S30*S29</f>
        <v>65491.68715789475</v>
      </c>
      <c r="T31" s="6">
        <f aca="true" t="shared" si="24" ref="T31:AL31">T30*T29</f>
        <v>61784.610526315795</v>
      </c>
      <c r="U31" s="6">
        <f t="shared" si="24"/>
        <v>58287.36842105263</v>
      </c>
      <c r="V31" s="6">
        <f t="shared" si="24"/>
        <v>59930.52631578947</v>
      </c>
      <c r="W31" s="6">
        <f t="shared" si="24"/>
        <v>55855.78947368421</v>
      </c>
      <c r="X31" s="6">
        <f t="shared" si="24"/>
        <v>48658.94736842105</v>
      </c>
      <c r="Y31" s="6">
        <f t="shared" si="24"/>
        <v>50936.052631578954</v>
      </c>
      <c r="Z31" s="6">
        <f t="shared" si="24"/>
        <v>48605</v>
      </c>
      <c r="AA31" s="6">
        <f t="shared" si="24"/>
        <v>44803.57736842106</v>
      </c>
      <c r="AB31" s="6">
        <f t="shared" si="24"/>
        <v>38750.11624842106</v>
      </c>
      <c r="AC31" s="6">
        <f t="shared" si="24"/>
        <v>32990.880220999476</v>
      </c>
      <c r="AD31" s="6">
        <f t="shared" si="24"/>
        <v>27514.39410431356</v>
      </c>
      <c r="AE31" s="6">
        <f t="shared" si="24"/>
        <v>22309.58788624758</v>
      </c>
      <c r="AF31" s="6">
        <f t="shared" si="24"/>
        <v>17365.783210655118</v>
      </c>
      <c r="AG31" s="6">
        <f t="shared" si="24"/>
        <v>12672.680297975568</v>
      </c>
      <c r="AH31" s="6">
        <f t="shared" si="24"/>
        <v>10275.43160827519</v>
      </c>
      <c r="AI31" s="6">
        <f t="shared" si="24"/>
        <v>7998.3959638814085</v>
      </c>
      <c r="AJ31" s="6">
        <f t="shared" si="24"/>
        <v>5836.829454642457</v>
      </c>
      <c r="AK31" s="6">
        <f t="shared" si="24"/>
        <v>3786.1567062447402</v>
      </c>
      <c r="AL31" s="6">
        <f t="shared" si="24"/>
        <v>1841.9652375880662</v>
      </c>
      <c r="AM31" s="6"/>
      <c r="AN31" s="6"/>
      <c r="AO31" s="6"/>
      <c r="AP31" s="6"/>
      <c r="AQ31" s="6"/>
      <c r="AR31" s="6"/>
      <c r="AS31" s="6"/>
      <c r="AT31" s="6"/>
      <c r="AU31" s="6"/>
      <c r="AV31" s="6"/>
      <c r="AW31" s="6"/>
      <c r="AX31" s="6"/>
      <c r="AY31" s="6"/>
      <c r="AZ31" s="6"/>
      <c r="BA31" s="6"/>
      <c r="BC31" s="10" t="s">
        <v>26</v>
      </c>
      <c r="BD31" s="119">
        <v>673</v>
      </c>
      <c r="BE31" s="10" t="s">
        <v>26</v>
      </c>
      <c r="BF31" s="119">
        <v>164</v>
      </c>
      <c r="BG31" s="120">
        <f t="shared" si="20"/>
        <v>837</v>
      </c>
      <c r="BH31" s="121"/>
      <c r="BI31" s="121"/>
    </row>
    <row r="32" spans="11:61" ht="12.75">
      <c r="K32" s="296" t="s">
        <v>616</v>
      </c>
      <c r="L32" s="29">
        <v>415</v>
      </c>
      <c r="M32" s="28">
        <v>0.03</v>
      </c>
      <c r="N32" s="28"/>
      <c r="O32" s="28"/>
      <c r="P32" s="12">
        <v>25</v>
      </c>
      <c r="Q32" s="12"/>
      <c r="S32" s="31">
        <f>L32</f>
        <v>415</v>
      </c>
      <c r="T32" s="31">
        <f>S32*(1-$M$32)</f>
        <v>402.55</v>
      </c>
      <c r="U32" s="31">
        <f aca="true" t="shared" si="25" ref="U32:BA32">T32*(1-$M$32)</f>
        <v>390.4735</v>
      </c>
      <c r="V32" s="31">
        <f t="shared" si="25"/>
        <v>378.759295</v>
      </c>
      <c r="W32" s="31">
        <f t="shared" si="25"/>
        <v>367.39651615</v>
      </c>
      <c r="X32" s="31">
        <f t="shared" si="25"/>
        <v>356.3746206655</v>
      </c>
      <c r="Y32" s="31">
        <f t="shared" si="25"/>
        <v>345.683382045535</v>
      </c>
      <c r="Z32" s="31">
        <f t="shared" si="25"/>
        <v>335.3128805841689</v>
      </c>
      <c r="AA32" s="31">
        <f t="shared" si="25"/>
        <v>325.2534941666438</v>
      </c>
      <c r="AB32" s="31">
        <f t="shared" si="25"/>
        <v>315.4958893416445</v>
      </c>
      <c r="AC32" s="31">
        <f t="shared" si="25"/>
        <v>306.03101266139515</v>
      </c>
      <c r="AD32" s="31">
        <f t="shared" si="25"/>
        <v>296.8500822815533</v>
      </c>
      <c r="AE32" s="31">
        <f t="shared" si="25"/>
        <v>287.94457981310666</v>
      </c>
      <c r="AF32" s="31">
        <f t="shared" si="25"/>
        <v>279.30624241871345</v>
      </c>
      <c r="AG32" s="31">
        <f t="shared" si="25"/>
        <v>270.92705514615204</v>
      </c>
      <c r="AH32" s="31">
        <f t="shared" si="25"/>
        <v>262.79924349176747</v>
      </c>
      <c r="AI32" s="31">
        <f t="shared" si="25"/>
        <v>254.91526618701445</v>
      </c>
      <c r="AJ32" s="31">
        <f t="shared" si="25"/>
        <v>247.26780820140402</v>
      </c>
      <c r="AK32" s="31">
        <f t="shared" si="25"/>
        <v>239.84977395536188</v>
      </c>
      <c r="AL32" s="31">
        <f t="shared" si="25"/>
        <v>232.65428073670103</v>
      </c>
      <c r="AM32" s="31">
        <f t="shared" si="25"/>
        <v>225.6746523146</v>
      </c>
      <c r="AN32" s="31">
        <f t="shared" si="25"/>
        <v>218.90441274516198</v>
      </c>
      <c r="AO32" s="31">
        <f t="shared" si="25"/>
        <v>212.33728036280712</v>
      </c>
      <c r="AP32" s="31">
        <f t="shared" si="25"/>
        <v>205.9671619519229</v>
      </c>
      <c r="AQ32" s="31">
        <f t="shared" si="25"/>
        <v>199.7881470933652</v>
      </c>
      <c r="AR32" s="31">
        <f t="shared" si="25"/>
        <v>193.79450268056425</v>
      </c>
      <c r="AS32" s="31">
        <f t="shared" si="25"/>
        <v>187.9806676001473</v>
      </c>
      <c r="AT32" s="31">
        <f t="shared" si="25"/>
        <v>182.3412475721429</v>
      </c>
      <c r="AU32" s="31">
        <f t="shared" si="25"/>
        <v>176.8710101449786</v>
      </c>
      <c r="AV32" s="31">
        <f t="shared" si="25"/>
        <v>171.56487984062926</v>
      </c>
      <c r="AW32" s="31">
        <f t="shared" si="25"/>
        <v>166.41793344541037</v>
      </c>
      <c r="AX32" s="31">
        <f t="shared" si="25"/>
        <v>161.42539544204806</v>
      </c>
      <c r="AY32" s="31">
        <f t="shared" si="25"/>
        <v>156.5826335787866</v>
      </c>
      <c r="AZ32" s="31">
        <f t="shared" si="25"/>
        <v>151.88515457142302</v>
      </c>
      <c r="BA32" s="31">
        <f t="shared" si="25"/>
        <v>147.32859993428033</v>
      </c>
      <c r="BC32" s="10" t="s">
        <v>27</v>
      </c>
      <c r="BD32" s="119">
        <v>517</v>
      </c>
      <c r="BE32" s="10" t="s">
        <v>44</v>
      </c>
      <c r="BF32" s="119">
        <v>68</v>
      </c>
      <c r="BG32" s="120">
        <f t="shared" si="20"/>
        <v>585</v>
      </c>
      <c r="BH32" s="121">
        <v>25</v>
      </c>
      <c r="BI32" s="121">
        <f aca="true" t="shared" si="26" ref="BI32:BI38">BG32*BH32</f>
        <v>14625</v>
      </c>
    </row>
    <row r="33" spans="11:61" ht="12.75">
      <c r="K33" s="25"/>
      <c r="L33" s="29"/>
      <c r="M33" s="28"/>
      <c r="N33" s="28"/>
      <c r="O33" s="28"/>
      <c r="P33" s="12"/>
      <c r="Q33" s="12"/>
      <c r="R33" s="2" t="s">
        <v>308</v>
      </c>
      <c r="S33" s="11">
        <v>1</v>
      </c>
      <c r="T33" s="11">
        <v>1</v>
      </c>
      <c r="U33" s="11">
        <v>1</v>
      </c>
      <c r="V33" s="11">
        <v>1</v>
      </c>
      <c r="W33" s="11">
        <v>1</v>
      </c>
      <c r="X33" s="11">
        <v>1</v>
      </c>
      <c r="Y33" s="11">
        <v>1</v>
      </c>
      <c r="Z33" s="11">
        <v>1</v>
      </c>
      <c r="AA33" s="11">
        <v>1</v>
      </c>
      <c r="AB33" s="11">
        <v>1</v>
      </c>
      <c r="AC33" s="11">
        <v>0.975</v>
      </c>
      <c r="AD33" s="11">
        <v>0.95</v>
      </c>
      <c r="AE33" s="11">
        <v>0.9</v>
      </c>
      <c r="AF33" s="11">
        <v>0.85</v>
      </c>
      <c r="AG33" s="11">
        <v>0.8</v>
      </c>
      <c r="AH33" s="11">
        <v>0.77</v>
      </c>
      <c r="AI33" s="11">
        <v>0.74</v>
      </c>
      <c r="AJ33" s="11">
        <v>0.71</v>
      </c>
      <c r="AK33" s="2">
        <v>0.68</v>
      </c>
      <c r="AL33" s="2">
        <v>0.65</v>
      </c>
      <c r="AM33" s="2">
        <v>0.62</v>
      </c>
      <c r="AN33" s="2">
        <v>0.59</v>
      </c>
      <c r="AO33" s="2">
        <v>0.56</v>
      </c>
      <c r="AP33" s="2">
        <v>0.53</v>
      </c>
      <c r="AQ33" s="2">
        <v>0.5</v>
      </c>
      <c r="AR33" s="2">
        <v>0.47</v>
      </c>
      <c r="AS33" s="2">
        <v>0.44</v>
      </c>
      <c r="AT33" s="2">
        <v>0.41</v>
      </c>
      <c r="AU33" s="2">
        <v>0.38</v>
      </c>
      <c r="AV33" s="2">
        <v>0.35</v>
      </c>
      <c r="AW33" s="2">
        <v>0.3</v>
      </c>
      <c r="AX33" s="2">
        <v>0.25</v>
      </c>
      <c r="AY33" s="2">
        <v>0.2</v>
      </c>
      <c r="AZ33" s="2">
        <v>0.15</v>
      </c>
      <c r="BA33" s="2">
        <v>0.1</v>
      </c>
      <c r="BC33" s="10" t="s">
        <v>28</v>
      </c>
      <c r="BD33" s="119">
        <v>480</v>
      </c>
      <c r="BE33" s="10" t="s">
        <v>28</v>
      </c>
      <c r="BF33" s="119">
        <v>39</v>
      </c>
      <c r="BG33" s="120">
        <f t="shared" si="20"/>
        <v>519</v>
      </c>
      <c r="BH33" s="121">
        <v>30</v>
      </c>
      <c r="BI33" s="121">
        <f t="shared" si="26"/>
        <v>15570</v>
      </c>
    </row>
    <row r="34" spans="11:61" ht="12.75">
      <c r="K34" s="25"/>
      <c r="L34" s="29"/>
      <c r="M34" s="28"/>
      <c r="N34" s="28"/>
      <c r="O34" s="28"/>
      <c r="P34" s="12"/>
      <c r="R34" s="113">
        <f>SUM(S34:BA34)</f>
        <v>6938.830288964929</v>
      </c>
      <c r="S34" s="6">
        <f>S33*S32</f>
        <v>415</v>
      </c>
      <c r="T34" s="6">
        <f aca="true" t="shared" si="27" ref="T34:AL34">T33*T32</f>
        <v>402.55</v>
      </c>
      <c r="U34" s="6">
        <f t="shared" si="27"/>
        <v>390.4735</v>
      </c>
      <c r="V34" s="6">
        <f t="shared" si="27"/>
        <v>378.759295</v>
      </c>
      <c r="W34" s="6">
        <f t="shared" si="27"/>
        <v>367.39651615</v>
      </c>
      <c r="X34" s="6">
        <f t="shared" si="27"/>
        <v>356.3746206655</v>
      </c>
      <c r="Y34" s="6">
        <f t="shared" si="27"/>
        <v>345.683382045535</v>
      </c>
      <c r="Z34" s="6">
        <f t="shared" si="27"/>
        <v>335.3128805841689</v>
      </c>
      <c r="AA34" s="6">
        <f t="shared" si="27"/>
        <v>325.2534941666438</v>
      </c>
      <c r="AB34" s="6">
        <f t="shared" si="27"/>
        <v>315.4958893416445</v>
      </c>
      <c r="AC34" s="6">
        <f t="shared" si="27"/>
        <v>298.3802373448603</v>
      </c>
      <c r="AD34" s="6">
        <f t="shared" si="27"/>
        <v>282.00757816747563</v>
      </c>
      <c r="AE34" s="6">
        <f t="shared" si="27"/>
        <v>259.150121831796</v>
      </c>
      <c r="AF34" s="6">
        <f t="shared" si="27"/>
        <v>237.41030605590643</v>
      </c>
      <c r="AG34" s="6">
        <f t="shared" si="27"/>
        <v>216.74164411692163</v>
      </c>
      <c r="AH34" s="6">
        <f t="shared" si="27"/>
        <v>202.35541748866095</v>
      </c>
      <c r="AI34" s="6">
        <f t="shared" si="27"/>
        <v>188.63729697839068</v>
      </c>
      <c r="AJ34" s="6">
        <f t="shared" si="27"/>
        <v>175.56014382299685</v>
      </c>
      <c r="AK34" s="6">
        <f t="shared" si="27"/>
        <v>163.0978462896461</v>
      </c>
      <c r="AL34" s="6">
        <f t="shared" si="27"/>
        <v>151.22528247885566</v>
      </c>
      <c r="AM34" s="6">
        <f aca="true" t="shared" si="28" ref="AM34:BA34">AM33*AM32</f>
        <v>139.918284435052</v>
      </c>
      <c r="AN34" s="6">
        <f t="shared" si="28"/>
        <v>129.15360351964557</v>
      </c>
      <c r="AO34" s="6">
        <f t="shared" si="28"/>
        <v>118.908877003172</v>
      </c>
      <c r="AP34" s="6">
        <f t="shared" si="28"/>
        <v>109.16259583451914</v>
      </c>
      <c r="AQ34" s="6">
        <f t="shared" si="28"/>
        <v>99.8940735466826</v>
      </c>
      <c r="AR34" s="6">
        <f t="shared" si="28"/>
        <v>91.08341625986519</v>
      </c>
      <c r="AS34" s="6">
        <f t="shared" si="28"/>
        <v>82.71149374406482</v>
      </c>
      <c r="AT34" s="6">
        <f t="shared" si="28"/>
        <v>74.75991150457858</v>
      </c>
      <c r="AU34" s="6">
        <f t="shared" si="28"/>
        <v>67.21098385509187</v>
      </c>
      <c r="AV34" s="6">
        <f t="shared" si="28"/>
        <v>60.047707944220235</v>
      </c>
      <c r="AW34" s="6">
        <f t="shared" si="28"/>
        <v>49.92538003362311</v>
      </c>
      <c r="AX34" s="6">
        <f t="shared" si="28"/>
        <v>40.356348860512014</v>
      </c>
      <c r="AY34" s="6">
        <f t="shared" si="28"/>
        <v>31.316526715757323</v>
      </c>
      <c r="AZ34" s="6">
        <f t="shared" si="28"/>
        <v>22.782773185713452</v>
      </c>
      <c r="BA34" s="6">
        <f t="shared" si="28"/>
        <v>14.732859993428034</v>
      </c>
      <c r="BC34" s="10" t="s">
        <v>29</v>
      </c>
      <c r="BD34" s="119">
        <v>374</v>
      </c>
      <c r="BE34" s="10" t="s">
        <v>29</v>
      </c>
      <c r="BF34" s="119">
        <v>35</v>
      </c>
      <c r="BG34" s="120">
        <f t="shared" si="20"/>
        <v>409</v>
      </c>
      <c r="BH34" s="121">
        <v>37.5</v>
      </c>
      <c r="BI34" s="121">
        <f t="shared" si="26"/>
        <v>15337.5</v>
      </c>
    </row>
    <row r="35" spans="11:61" ht="12.75">
      <c r="K35" s="296" t="s">
        <v>615</v>
      </c>
      <c r="L35" s="29">
        <v>192</v>
      </c>
      <c r="M35" s="28">
        <v>0.03</v>
      </c>
      <c r="N35" s="28"/>
      <c r="O35" s="28"/>
      <c r="P35" s="12">
        <v>25</v>
      </c>
      <c r="Q35" s="12"/>
      <c r="S35" s="31">
        <f>L35</f>
        <v>192</v>
      </c>
      <c r="T35" s="31">
        <f>S35*(1-$M$32)</f>
        <v>186.24</v>
      </c>
      <c r="U35" s="31">
        <f aca="true" t="shared" si="29" ref="U35:AQ35">T35*(1-$M$32)</f>
        <v>180.6528</v>
      </c>
      <c r="V35" s="31">
        <f t="shared" si="29"/>
        <v>175.233216</v>
      </c>
      <c r="W35" s="31">
        <f t="shared" si="29"/>
        <v>169.97621952</v>
      </c>
      <c r="X35" s="31">
        <f t="shared" si="29"/>
        <v>164.8769329344</v>
      </c>
      <c r="Y35" s="31">
        <f t="shared" si="29"/>
        <v>159.930624946368</v>
      </c>
      <c r="Z35" s="31">
        <f t="shared" si="29"/>
        <v>155.13270619797694</v>
      </c>
      <c r="AA35" s="31">
        <f t="shared" si="29"/>
        <v>150.47872501203764</v>
      </c>
      <c r="AB35" s="31">
        <f t="shared" si="29"/>
        <v>145.9643632616765</v>
      </c>
      <c r="AC35" s="31">
        <f t="shared" si="29"/>
        <v>141.58543236382621</v>
      </c>
      <c r="AD35" s="31">
        <f t="shared" si="29"/>
        <v>137.33786939291141</v>
      </c>
      <c r="AE35" s="31">
        <f t="shared" si="29"/>
        <v>133.21773331112408</v>
      </c>
      <c r="AF35" s="31">
        <f t="shared" si="29"/>
        <v>129.22120131179037</v>
      </c>
      <c r="AG35" s="31">
        <f t="shared" si="29"/>
        <v>125.34456527243665</v>
      </c>
      <c r="AH35" s="31">
        <f t="shared" si="29"/>
        <v>121.58422831426356</v>
      </c>
      <c r="AI35" s="31">
        <f t="shared" si="29"/>
        <v>117.93670146483565</v>
      </c>
      <c r="AJ35" s="31">
        <f t="shared" si="29"/>
        <v>114.39860042089057</v>
      </c>
      <c r="AK35" s="31">
        <f t="shared" si="29"/>
        <v>110.96664240826385</v>
      </c>
      <c r="AL35" s="31">
        <f t="shared" si="29"/>
        <v>107.63764313601594</v>
      </c>
      <c r="AM35" s="31">
        <f t="shared" si="29"/>
        <v>104.40851384193546</v>
      </c>
      <c r="AN35" s="31">
        <f t="shared" si="29"/>
        <v>101.27625842667739</v>
      </c>
      <c r="AO35" s="31">
        <f t="shared" si="29"/>
        <v>98.23797067387706</v>
      </c>
      <c r="AP35" s="31">
        <f t="shared" si="29"/>
        <v>95.29083155366074</v>
      </c>
      <c r="AQ35" s="31">
        <f t="shared" si="29"/>
        <v>92.43210660705091</v>
      </c>
      <c r="AR35" s="6"/>
      <c r="AS35" s="6"/>
      <c r="AT35" s="6"/>
      <c r="AU35" s="6"/>
      <c r="AV35" s="6"/>
      <c r="AW35" s="6"/>
      <c r="AX35" s="6"/>
      <c r="AY35" s="6"/>
      <c r="AZ35" s="6"/>
      <c r="BA35" s="6"/>
      <c r="BC35" s="10" t="s">
        <v>30</v>
      </c>
      <c r="BD35" s="119">
        <v>356</v>
      </c>
      <c r="BE35" s="10" t="s">
        <v>30</v>
      </c>
      <c r="BF35" s="119">
        <v>33</v>
      </c>
      <c r="BG35" s="120">
        <f t="shared" si="20"/>
        <v>389</v>
      </c>
      <c r="BH35" s="121">
        <v>45</v>
      </c>
      <c r="BI35" s="121">
        <f t="shared" si="26"/>
        <v>17505</v>
      </c>
    </row>
    <row r="36" spans="11:61" ht="12.75">
      <c r="K36" s="25"/>
      <c r="L36" s="29"/>
      <c r="M36" s="28"/>
      <c r="N36" s="28"/>
      <c r="O36" s="28"/>
      <c r="P36" s="12"/>
      <c r="Q36" s="12"/>
      <c r="R36" s="2" t="s">
        <v>308</v>
      </c>
      <c r="S36" s="11">
        <v>1</v>
      </c>
      <c r="T36" s="11">
        <v>1</v>
      </c>
      <c r="U36" s="11">
        <v>1</v>
      </c>
      <c r="V36" s="11">
        <v>1</v>
      </c>
      <c r="W36" s="11">
        <v>1</v>
      </c>
      <c r="X36" s="11">
        <v>1</v>
      </c>
      <c r="Y36" s="11">
        <v>1</v>
      </c>
      <c r="Z36" s="11">
        <v>1</v>
      </c>
      <c r="AA36" s="11">
        <v>1</v>
      </c>
      <c r="AB36" s="11">
        <v>1</v>
      </c>
      <c r="AC36" s="11">
        <v>0.975</v>
      </c>
      <c r="AD36" s="11">
        <v>0.95</v>
      </c>
      <c r="AE36" s="11">
        <v>0.9</v>
      </c>
      <c r="AF36" s="11">
        <v>0.85</v>
      </c>
      <c r="AG36" s="11">
        <v>0.8</v>
      </c>
      <c r="AH36" s="11">
        <v>0.77</v>
      </c>
      <c r="AI36" s="11">
        <v>0.74</v>
      </c>
      <c r="AJ36" s="11">
        <v>0.71</v>
      </c>
      <c r="AK36" s="11">
        <v>0.68</v>
      </c>
      <c r="AL36" s="11">
        <v>0.65</v>
      </c>
      <c r="AM36" s="11">
        <v>0.6</v>
      </c>
      <c r="AN36" s="11">
        <v>0.5</v>
      </c>
      <c r="AO36" s="11">
        <v>0.4</v>
      </c>
      <c r="AP36" s="11">
        <v>0.3</v>
      </c>
      <c r="AQ36" s="11">
        <v>0.2</v>
      </c>
      <c r="AR36" s="6"/>
      <c r="AS36" s="6"/>
      <c r="AT36" s="6"/>
      <c r="AU36" s="6"/>
      <c r="AV36" s="6"/>
      <c r="AW36" s="6"/>
      <c r="AX36" s="6"/>
      <c r="AY36" s="6"/>
      <c r="AZ36" s="6"/>
      <c r="BA36" s="6"/>
      <c r="BB36" s="2"/>
      <c r="BC36" s="10" t="s">
        <v>31</v>
      </c>
      <c r="BD36" s="119">
        <v>680</v>
      </c>
      <c r="BE36" s="10" t="s">
        <v>31</v>
      </c>
      <c r="BF36" s="119">
        <v>76</v>
      </c>
      <c r="BG36" s="120">
        <f t="shared" si="20"/>
        <v>756</v>
      </c>
      <c r="BH36" s="121">
        <v>65</v>
      </c>
      <c r="BI36" s="121">
        <f t="shared" si="26"/>
        <v>49140</v>
      </c>
    </row>
    <row r="37" spans="11:61" ht="12.75">
      <c r="K37" s="25"/>
      <c r="L37" s="29"/>
      <c r="M37" s="28"/>
      <c r="N37" s="28"/>
      <c r="O37" s="28"/>
      <c r="P37" s="12"/>
      <c r="R37" s="113">
        <f>SUM(S37:BA37)</f>
        <v>2886.2018962998204</v>
      </c>
      <c r="S37" s="6">
        <f aca="true" t="shared" si="30" ref="S37:AQ37">S36*S35</f>
        <v>192</v>
      </c>
      <c r="T37" s="6">
        <f t="shared" si="30"/>
        <v>186.24</v>
      </c>
      <c r="U37" s="6">
        <f t="shared" si="30"/>
        <v>180.6528</v>
      </c>
      <c r="V37" s="6">
        <f t="shared" si="30"/>
        <v>175.233216</v>
      </c>
      <c r="W37" s="6">
        <f t="shared" si="30"/>
        <v>169.97621952</v>
      </c>
      <c r="X37" s="6">
        <f t="shared" si="30"/>
        <v>164.8769329344</v>
      </c>
      <c r="Y37" s="6">
        <f t="shared" si="30"/>
        <v>159.930624946368</v>
      </c>
      <c r="Z37" s="6">
        <f t="shared" si="30"/>
        <v>155.13270619797694</v>
      </c>
      <c r="AA37" s="6">
        <f t="shared" si="30"/>
        <v>150.47872501203764</v>
      </c>
      <c r="AB37" s="6">
        <f t="shared" si="30"/>
        <v>145.9643632616765</v>
      </c>
      <c r="AC37" s="6">
        <f t="shared" si="30"/>
        <v>138.04579655473054</v>
      </c>
      <c r="AD37" s="6">
        <f t="shared" si="30"/>
        <v>130.47097592326583</v>
      </c>
      <c r="AE37" s="6">
        <f t="shared" si="30"/>
        <v>119.89595998001167</v>
      </c>
      <c r="AF37" s="6">
        <f t="shared" si="30"/>
        <v>109.8380211150218</v>
      </c>
      <c r="AG37" s="6">
        <f t="shared" si="30"/>
        <v>100.27565221794933</v>
      </c>
      <c r="AH37" s="6">
        <f t="shared" si="30"/>
        <v>93.61985580198294</v>
      </c>
      <c r="AI37" s="6">
        <f t="shared" si="30"/>
        <v>87.27315908397838</v>
      </c>
      <c r="AJ37" s="6">
        <f t="shared" si="30"/>
        <v>81.2230062988323</v>
      </c>
      <c r="AK37" s="6">
        <f t="shared" si="30"/>
        <v>75.45731683761943</v>
      </c>
      <c r="AL37" s="6">
        <f t="shared" si="30"/>
        <v>69.96446803841036</v>
      </c>
      <c r="AM37" s="6">
        <f t="shared" si="30"/>
        <v>62.64510830516127</v>
      </c>
      <c r="AN37" s="6">
        <f t="shared" si="30"/>
        <v>50.63812921333869</v>
      </c>
      <c r="AO37" s="6">
        <f t="shared" si="30"/>
        <v>39.29518826955083</v>
      </c>
      <c r="AP37" s="6">
        <f t="shared" si="30"/>
        <v>28.58724946609822</v>
      </c>
      <c r="AQ37" s="6">
        <f t="shared" si="30"/>
        <v>18.486421321410184</v>
      </c>
      <c r="AR37" s="6"/>
      <c r="AS37" s="6"/>
      <c r="AT37" s="6"/>
      <c r="AU37" s="6"/>
      <c r="AV37" s="6"/>
      <c r="AW37" s="6"/>
      <c r="AX37" s="6"/>
      <c r="AY37" s="6"/>
      <c r="AZ37" s="6"/>
      <c r="BA37" s="6"/>
      <c r="BB37" s="2"/>
      <c r="BC37" s="10" t="s">
        <v>32</v>
      </c>
      <c r="BD37" s="119">
        <v>208</v>
      </c>
      <c r="BE37" s="10" t="s">
        <v>32</v>
      </c>
      <c r="BF37" s="119">
        <v>4</v>
      </c>
      <c r="BG37" s="120">
        <f t="shared" si="20"/>
        <v>212</v>
      </c>
      <c r="BH37" s="121">
        <v>77.5</v>
      </c>
      <c r="BI37" s="121">
        <f t="shared" si="26"/>
        <v>16430</v>
      </c>
    </row>
    <row r="38" spans="11:61" ht="12.75">
      <c r="K38" s="25" t="s">
        <v>158</v>
      </c>
      <c r="L38" s="29"/>
      <c r="M38" s="23">
        <v>0.03</v>
      </c>
      <c r="N38" s="23"/>
      <c r="O38" s="23"/>
      <c r="P38" s="12">
        <v>20</v>
      </c>
      <c r="Q38" s="12"/>
      <c r="S38" s="31">
        <v>960</v>
      </c>
      <c r="T38" s="31">
        <f>S38*(1-$M$38)</f>
        <v>931.1999999999999</v>
      </c>
      <c r="U38" s="31">
        <f aca="true" t="shared" si="31" ref="U38:AL38">T38*(1-$M$38)</f>
        <v>903.2639999999999</v>
      </c>
      <c r="V38" s="31">
        <f t="shared" si="31"/>
        <v>876.1660799999999</v>
      </c>
      <c r="W38" s="31">
        <f t="shared" si="31"/>
        <v>849.8810975999999</v>
      </c>
      <c r="X38" s="31">
        <f t="shared" si="31"/>
        <v>824.3846646719999</v>
      </c>
      <c r="Y38" s="31">
        <f t="shared" si="31"/>
        <v>799.6531247318399</v>
      </c>
      <c r="Z38" s="31">
        <f t="shared" si="31"/>
        <v>775.6635309898846</v>
      </c>
      <c r="AA38" s="31">
        <f t="shared" si="31"/>
        <v>752.3936250601881</v>
      </c>
      <c r="AB38" s="31">
        <f t="shared" si="31"/>
        <v>729.8218163083825</v>
      </c>
      <c r="AC38" s="31">
        <f t="shared" si="31"/>
        <v>707.927161819131</v>
      </c>
      <c r="AD38" s="31">
        <f t="shared" si="31"/>
        <v>686.6893469645571</v>
      </c>
      <c r="AE38" s="31">
        <f t="shared" si="31"/>
        <v>666.0886665556204</v>
      </c>
      <c r="AF38" s="31">
        <f t="shared" si="31"/>
        <v>646.1060065589518</v>
      </c>
      <c r="AG38" s="31">
        <f t="shared" si="31"/>
        <v>626.7228263621832</v>
      </c>
      <c r="AH38" s="31">
        <f t="shared" si="31"/>
        <v>607.9211415713178</v>
      </c>
      <c r="AI38" s="31">
        <f t="shared" si="31"/>
        <v>589.6835073241782</v>
      </c>
      <c r="AJ38" s="31">
        <f t="shared" si="31"/>
        <v>571.9930021044529</v>
      </c>
      <c r="AK38" s="31">
        <f t="shared" si="31"/>
        <v>554.8332120413193</v>
      </c>
      <c r="AL38" s="31">
        <f t="shared" si="31"/>
        <v>538.1882156800797</v>
      </c>
      <c r="BB38" s="2"/>
      <c r="BC38" s="10" t="s">
        <v>33</v>
      </c>
      <c r="BD38" s="119">
        <v>169</v>
      </c>
      <c r="BE38" s="10" t="s">
        <v>33</v>
      </c>
      <c r="BF38" s="119">
        <v>21</v>
      </c>
      <c r="BG38" s="120">
        <f t="shared" si="20"/>
        <v>190</v>
      </c>
      <c r="BH38" s="121">
        <v>90</v>
      </c>
      <c r="BI38" s="121">
        <f t="shared" si="26"/>
        <v>17100</v>
      </c>
    </row>
    <row r="39" spans="11:60" ht="12.75">
      <c r="K39" s="25"/>
      <c r="L39" s="29"/>
      <c r="M39" s="23"/>
      <c r="N39" s="23"/>
      <c r="O39" s="23"/>
      <c r="P39" s="12"/>
      <c r="Q39" s="12"/>
      <c r="R39" s="2" t="s">
        <v>308</v>
      </c>
      <c r="S39" s="11">
        <v>1</v>
      </c>
      <c r="T39" s="11">
        <v>1</v>
      </c>
      <c r="U39" s="11">
        <v>1</v>
      </c>
      <c r="V39" s="11">
        <v>1</v>
      </c>
      <c r="W39" s="11">
        <v>1</v>
      </c>
      <c r="X39" s="11">
        <v>0.98</v>
      </c>
      <c r="Y39" s="11">
        <v>0.95</v>
      </c>
      <c r="Z39" s="11">
        <v>0.9</v>
      </c>
      <c r="AA39" s="11">
        <v>0.85</v>
      </c>
      <c r="AB39" s="11">
        <v>0.8</v>
      </c>
      <c r="AC39" s="11">
        <v>0.75</v>
      </c>
      <c r="AD39" s="11">
        <v>0.7</v>
      </c>
      <c r="AE39" s="11">
        <v>0.62</v>
      </c>
      <c r="AF39" s="11">
        <v>0.56</v>
      </c>
      <c r="AG39" s="11">
        <v>0.5</v>
      </c>
      <c r="AH39" s="11">
        <v>0.44</v>
      </c>
      <c r="AI39" s="11">
        <v>0.38</v>
      </c>
      <c r="AJ39" s="11">
        <v>0.32</v>
      </c>
      <c r="AK39" s="11">
        <v>0.26</v>
      </c>
      <c r="AL39" s="11">
        <v>0.2</v>
      </c>
      <c r="BB39" s="10" t="s">
        <v>34</v>
      </c>
      <c r="BC39" s="119">
        <v>235</v>
      </c>
      <c r="BD39" s="10" t="s">
        <v>34</v>
      </c>
      <c r="BE39" s="119">
        <v>25</v>
      </c>
      <c r="BF39" s="120">
        <f t="shared" si="20"/>
        <v>260</v>
      </c>
      <c r="BG39" s="121">
        <v>120</v>
      </c>
      <c r="BH39" s="121">
        <f>BF39*BG39</f>
        <v>31200</v>
      </c>
    </row>
    <row r="40" spans="11:60" ht="12.75">
      <c r="K40" s="25"/>
      <c r="L40" s="29"/>
      <c r="M40" s="23"/>
      <c r="N40" s="23"/>
      <c r="O40" s="23"/>
      <c r="P40" s="12"/>
      <c r="Q40" s="12"/>
      <c r="R40" s="113">
        <f>SUM(S40:BA40)</f>
        <v>11035.84856808545</v>
      </c>
      <c r="S40" s="6">
        <f aca="true" t="shared" si="32" ref="S40:AL40">S39*S38</f>
        <v>960</v>
      </c>
      <c r="T40" s="6">
        <f t="shared" si="32"/>
        <v>931.1999999999999</v>
      </c>
      <c r="U40" s="6">
        <f t="shared" si="32"/>
        <v>903.2639999999999</v>
      </c>
      <c r="V40" s="6">
        <f t="shared" si="32"/>
        <v>876.1660799999999</v>
      </c>
      <c r="W40" s="6">
        <f t="shared" si="32"/>
        <v>849.8810975999999</v>
      </c>
      <c r="X40" s="6">
        <f t="shared" si="32"/>
        <v>807.8969713785599</v>
      </c>
      <c r="Y40" s="6">
        <f t="shared" si="32"/>
        <v>759.6704684952479</v>
      </c>
      <c r="Z40" s="6">
        <f t="shared" si="32"/>
        <v>698.0971778908962</v>
      </c>
      <c r="AA40" s="6">
        <f t="shared" si="32"/>
        <v>639.5345813011598</v>
      </c>
      <c r="AB40" s="6">
        <f t="shared" si="32"/>
        <v>583.857453046706</v>
      </c>
      <c r="AC40" s="6">
        <f t="shared" si="32"/>
        <v>530.9453713643483</v>
      </c>
      <c r="AD40" s="6">
        <f t="shared" si="32"/>
        <v>480.68254287518994</v>
      </c>
      <c r="AE40" s="6">
        <f t="shared" si="32"/>
        <v>412.9749732644847</v>
      </c>
      <c r="AF40" s="6">
        <f t="shared" si="32"/>
        <v>361.819363673013</v>
      </c>
      <c r="AG40" s="6">
        <f t="shared" si="32"/>
        <v>313.3614131810916</v>
      </c>
      <c r="AH40" s="6">
        <f t="shared" si="32"/>
        <v>267.4853022913798</v>
      </c>
      <c r="AI40" s="6">
        <f t="shared" si="32"/>
        <v>224.07973278318772</v>
      </c>
      <c r="AJ40" s="6">
        <f t="shared" si="32"/>
        <v>183.03776067342494</v>
      </c>
      <c r="AK40" s="6">
        <f t="shared" si="32"/>
        <v>144.256635130743</v>
      </c>
      <c r="AL40" s="6">
        <f t="shared" si="32"/>
        <v>107.63764313601594</v>
      </c>
      <c r="BB40" s="10" t="s">
        <v>35</v>
      </c>
      <c r="BC40" s="119">
        <v>42</v>
      </c>
      <c r="BD40" s="10" t="s">
        <v>35</v>
      </c>
      <c r="BE40" s="119">
        <v>5</v>
      </c>
      <c r="BF40" s="120">
        <f t="shared" si="20"/>
        <v>47</v>
      </c>
      <c r="BG40" s="121">
        <v>160</v>
      </c>
      <c r="BH40" s="121">
        <f>BF40*BG40</f>
        <v>7520</v>
      </c>
    </row>
    <row r="41" spans="11:60" ht="12.75">
      <c r="K41" s="25"/>
      <c r="L41" s="29"/>
      <c r="M41" s="28"/>
      <c r="N41" s="28"/>
      <c r="O41" s="28"/>
      <c r="P41" s="12"/>
      <c r="Q41" s="12"/>
      <c r="S41" s="31"/>
      <c r="BB41" s="10" t="s">
        <v>45</v>
      </c>
      <c r="BC41" s="119">
        <v>13</v>
      </c>
      <c r="BD41" s="10" t="s">
        <v>45</v>
      </c>
      <c r="BE41" s="119">
        <v>0</v>
      </c>
      <c r="BF41" s="120">
        <f t="shared" si="20"/>
        <v>13</v>
      </c>
      <c r="BG41" s="121">
        <v>250</v>
      </c>
      <c r="BH41" s="121">
        <f>BF41*BG41</f>
        <v>3250</v>
      </c>
    </row>
    <row r="42" spans="54:60" ht="12.75">
      <c r="BB42" s="10" t="s">
        <v>37</v>
      </c>
      <c r="BC42" s="119">
        <v>3074</v>
      </c>
      <c r="BD42" s="10" t="s">
        <v>37</v>
      </c>
      <c r="BE42" s="119">
        <v>306</v>
      </c>
      <c r="BF42" s="120">
        <f t="shared" si="20"/>
        <v>3380</v>
      </c>
      <c r="BG42" s="121"/>
      <c r="BH42" s="121"/>
    </row>
    <row r="43" spans="12:60" ht="12.75">
      <c r="L43" s="1" t="s">
        <v>634</v>
      </c>
      <c r="BB43" s="10" t="s">
        <v>38</v>
      </c>
      <c r="BC43" s="119">
        <v>3747</v>
      </c>
      <c r="BD43" s="10" t="s">
        <v>39</v>
      </c>
      <c r="BE43" s="119">
        <v>470</v>
      </c>
      <c r="BF43" s="120">
        <f t="shared" si="20"/>
        <v>4217</v>
      </c>
      <c r="BG43" s="121"/>
      <c r="BH43" s="121">
        <f>SUM(BI26:BI42)</f>
        <v>158646</v>
      </c>
    </row>
    <row r="44" spans="12:60" ht="38.25">
      <c r="L44" s="4" t="s">
        <v>7</v>
      </c>
      <c r="M44" s="4" t="s">
        <v>291</v>
      </c>
      <c r="N44" s="4" t="s">
        <v>292</v>
      </c>
      <c r="O44" s="4" t="s">
        <v>6</v>
      </c>
      <c r="P44" s="4" t="s">
        <v>2</v>
      </c>
      <c r="Q44" s="12" t="s">
        <v>284</v>
      </c>
      <c r="R44" s="4" t="s">
        <v>192</v>
      </c>
      <c r="S44" s="12" t="s">
        <v>284</v>
      </c>
      <c r="T44" s="4" t="s">
        <v>15</v>
      </c>
      <c r="U44" s="4" t="s">
        <v>293</v>
      </c>
      <c r="V44" s="12" t="s">
        <v>284</v>
      </c>
      <c r="W44" s="4" t="s">
        <v>193</v>
      </c>
      <c r="X44" s="12" t="s">
        <v>284</v>
      </c>
      <c r="Y44" s="4" t="s">
        <v>169</v>
      </c>
      <c r="Z44" s="4" t="s">
        <v>169</v>
      </c>
      <c r="AA44" s="12"/>
      <c r="AB44" s="12"/>
      <c r="AC44" s="12"/>
      <c r="AD44" s="6"/>
      <c r="BB44" s="121"/>
      <c r="BC44" s="121"/>
      <c r="BD44" s="123"/>
      <c r="BE44" s="119">
        <v>4217</v>
      </c>
      <c r="BF44" s="121"/>
      <c r="BG44" s="121"/>
      <c r="BH44" s="124">
        <f>BH43/BF43</f>
        <v>37.62058335309462</v>
      </c>
    </row>
    <row r="45" spans="12:60" ht="12.75">
      <c r="L45" s="111">
        <v>1997</v>
      </c>
      <c r="M45" s="74">
        <v>231800</v>
      </c>
      <c r="N45" s="74">
        <v>114231.044</v>
      </c>
      <c r="O45" s="74">
        <v>492.8000172562554</v>
      </c>
      <c r="P45" s="2">
        <v>27000</v>
      </c>
      <c r="Q45" s="21">
        <f>P45/$Z$45</f>
        <v>0.1164782164165261</v>
      </c>
      <c r="R45" s="2">
        <v>0</v>
      </c>
      <c r="S45" s="21">
        <f>R45/$Z$45</f>
        <v>0</v>
      </c>
      <c r="T45" s="2">
        <f>P45*3</f>
        <v>81000</v>
      </c>
      <c r="U45" s="5">
        <f aca="true" t="shared" si="33" ref="U45:U51">T45/P45</f>
        <v>3</v>
      </c>
      <c r="V45" s="21">
        <f>T45/Z45</f>
        <v>0.3494346492495783</v>
      </c>
      <c r="W45" s="29">
        <f aca="true" t="shared" si="34" ref="W45:W52">M45-P45-T45</f>
        <v>123800</v>
      </c>
      <c r="X45" s="21">
        <f>W45/$Z$45</f>
        <v>0.5340741923098493</v>
      </c>
      <c r="Y45" s="31">
        <f aca="true" t="shared" si="35" ref="Y45:Y54">SUM(P45:W45)</f>
        <v>231803.46591286565</v>
      </c>
      <c r="Z45" s="6">
        <v>231803</v>
      </c>
      <c r="AA45" s="111">
        <v>1997</v>
      </c>
      <c r="AB45" s="74">
        <v>231800</v>
      </c>
      <c r="BB45" s="125" t="s">
        <v>52</v>
      </c>
      <c r="BC45" s="125"/>
      <c r="BD45" s="125"/>
      <c r="BE45" s="125"/>
      <c r="BF45" s="125"/>
      <c r="BG45" s="125"/>
      <c r="BH45" s="125"/>
    </row>
    <row r="46" spans="12:60" ht="12.75">
      <c r="L46" s="111">
        <v>1998</v>
      </c>
      <c r="M46" s="74">
        <v>323556</v>
      </c>
      <c r="N46" s="74">
        <v>171595.791</v>
      </c>
      <c r="O46" s="74">
        <v>530.3434057782888</v>
      </c>
      <c r="P46" s="2">
        <v>32000</v>
      </c>
      <c r="Q46" s="21">
        <f aca="true" t="shared" si="36" ref="Q46:Q54">P46/$Z$45</f>
        <v>0.13804825649366056</v>
      </c>
      <c r="R46" s="2">
        <v>0</v>
      </c>
      <c r="S46" s="21">
        <f aca="true" t="shared" si="37" ref="S46:S54">R46/$Z$45</f>
        <v>0</v>
      </c>
      <c r="T46" s="2">
        <f>P46*3</f>
        <v>96000</v>
      </c>
      <c r="U46" s="5">
        <f t="shared" si="33"/>
        <v>3</v>
      </c>
      <c r="V46" s="21">
        <f aca="true" t="shared" si="38" ref="V46:V54">T46/Z46</f>
        <v>0.2967001381510018</v>
      </c>
      <c r="W46" s="29">
        <f t="shared" si="34"/>
        <v>195556</v>
      </c>
      <c r="X46" s="21">
        <f aca="true" t="shared" si="39" ref="X46:X54">W46/Z46</f>
        <v>0.604390543919347</v>
      </c>
      <c r="Y46" s="31">
        <f t="shared" si="35"/>
        <v>323559.43474839465</v>
      </c>
      <c r="Z46" s="6">
        <v>323559</v>
      </c>
      <c r="AA46" s="111">
        <v>1998</v>
      </c>
      <c r="AB46" s="74">
        <v>323556</v>
      </c>
      <c r="BB46" s="14"/>
      <c r="BC46" s="15" t="s">
        <v>55</v>
      </c>
      <c r="BD46" s="16">
        <v>9114</v>
      </c>
      <c r="BE46" s="126">
        <v>15</v>
      </c>
      <c r="BF46" s="121">
        <f>BD46*BE46</f>
        <v>136710</v>
      </c>
      <c r="BG46" s="125"/>
      <c r="BH46" s="125"/>
    </row>
    <row r="47" spans="12:60" ht="12.75">
      <c r="L47" s="111">
        <v>1999</v>
      </c>
      <c r="M47" s="74">
        <v>299714</v>
      </c>
      <c r="N47" s="74">
        <v>157234.88</v>
      </c>
      <c r="O47" s="74">
        <v>524.6164009689237</v>
      </c>
      <c r="P47" s="2">
        <v>37000</v>
      </c>
      <c r="Q47" s="21">
        <f t="shared" si="36"/>
        <v>0.15961829657079502</v>
      </c>
      <c r="R47" s="2">
        <v>0</v>
      </c>
      <c r="S47" s="21">
        <f t="shared" si="37"/>
        <v>0</v>
      </c>
      <c r="T47" s="2">
        <f>P47*3</f>
        <v>111000</v>
      </c>
      <c r="U47" s="5">
        <f t="shared" si="33"/>
        <v>3</v>
      </c>
      <c r="V47" s="21">
        <f t="shared" si="38"/>
        <v>0.3703493628990014</v>
      </c>
      <c r="W47" s="29">
        <f t="shared" si="34"/>
        <v>151714</v>
      </c>
      <c r="X47" s="21">
        <f t="shared" si="39"/>
        <v>0.5061908400257576</v>
      </c>
      <c r="Y47" s="31">
        <f t="shared" si="35"/>
        <v>299717.5299676595</v>
      </c>
      <c r="Z47" s="6">
        <v>299717</v>
      </c>
      <c r="AA47" s="111">
        <v>1999</v>
      </c>
      <c r="AB47" s="74">
        <v>299714</v>
      </c>
      <c r="BB47" s="17"/>
      <c r="BC47" s="15" t="s">
        <v>56</v>
      </c>
      <c r="BD47" s="16">
        <v>30111</v>
      </c>
      <c r="BE47" s="126">
        <v>22</v>
      </c>
      <c r="BF47" s="121">
        <f>BD47*BE47</f>
        <v>662442</v>
      </c>
      <c r="BG47" s="125"/>
      <c r="BH47" s="125"/>
    </row>
    <row r="48" spans="12:60" ht="12.75">
      <c r="L48" s="111">
        <v>2000</v>
      </c>
      <c r="M48" s="74">
        <v>269882</v>
      </c>
      <c r="N48" s="74">
        <v>158150.684</v>
      </c>
      <c r="O48" s="74">
        <v>585.9993775057247</v>
      </c>
      <c r="P48" s="2">
        <v>42000</v>
      </c>
      <c r="Q48" s="21">
        <f t="shared" si="36"/>
        <v>0.1811883366479295</v>
      </c>
      <c r="R48" s="2">
        <v>100</v>
      </c>
      <c r="S48" s="21">
        <f t="shared" si="37"/>
        <v>0.0004314008015426893</v>
      </c>
      <c r="T48" s="2">
        <f>P48*3</f>
        <v>126000</v>
      </c>
      <c r="U48" s="5">
        <f t="shared" si="33"/>
        <v>3</v>
      </c>
      <c r="V48" s="21">
        <f t="shared" si="38"/>
        <v>0.46669259403300184</v>
      </c>
      <c r="W48" s="29">
        <f t="shared" si="34"/>
        <v>101882</v>
      </c>
      <c r="X48" s="21">
        <f t="shared" si="39"/>
        <v>0.37736170527992297</v>
      </c>
      <c r="Y48" s="31">
        <f t="shared" si="35"/>
        <v>269985.64831233147</v>
      </c>
      <c r="Z48" s="6">
        <v>269985</v>
      </c>
      <c r="AA48" s="111">
        <v>2000</v>
      </c>
      <c r="AB48" s="74">
        <v>269882</v>
      </c>
      <c r="BB48" s="17"/>
      <c r="BC48" s="15" t="s">
        <v>57</v>
      </c>
      <c r="BD48" s="16">
        <v>6220</v>
      </c>
      <c r="BE48" s="126">
        <v>26</v>
      </c>
      <c r="BF48" s="121">
        <f>BD48*BE48</f>
        <v>161720</v>
      </c>
      <c r="BG48" s="125"/>
      <c r="BH48" s="125"/>
    </row>
    <row r="49" spans="12:61" ht="12.75">
      <c r="L49" s="111">
        <v>2001</v>
      </c>
      <c r="M49" s="74">
        <v>364527</v>
      </c>
      <c r="N49" s="74">
        <v>207059.642</v>
      </c>
      <c r="O49" s="74">
        <v>568.0227856921434</v>
      </c>
      <c r="P49" s="2">
        <v>47000</v>
      </c>
      <c r="Q49" s="21">
        <f t="shared" si="36"/>
        <v>0.20275837672506394</v>
      </c>
      <c r="R49" s="74">
        <v>405</v>
      </c>
      <c r="S49" s="21">
        <f t="shared" si="37"/>
        <v>0.0017471732462478915</v>
      </c>
      <c r="T49" s="2">
        <f>P49*3</f>
        <v>141000</v>
      </c>
      <c r="U49" s="5">
        <f t="shared" si="33"/>
        <v>3</v>
      </c>
      <c r="V49" s="21">
        <f t="shared" si="38"/>
        <v>0.3863701755107074</v>
      </c>
      <c r="W49" s="29">
        <f t="shared" si="34"/>
        <v>176527</v>
      </c>
      <c r="X49" s="21">
        <f t="shared" si="39"/>
        <v>0.4837217586693521</v>
      </c>
      <c r="Y49" s="31">
        <f t="shared" si="35"/>
        <v>364935.5908757255</v>
      </c>
      <c r="Z49" s="6">
        <v>364935</v>
      </c>
      <c r="AA49" s="111">
        <v>2001</v>
      </c>
      <c r="AB49" s="74">
        <v>364527</v>
      </c>
      <c r="BC49" s="17"/>
      <c r="BD49" s="15" t="s">
        <v>58</v>
      </c>
      <c r="BE49" s="16">
        <v>11089</v>
      </c>
      <c r="BF49" s="126">
        <v>33</v>
      </c>
      <c r="BG49" s="121">
        <f>BE49*BF49</f>
        <v>365937</v>
      </c>
      <c r="BH49" s="125"/>
      <c r="BI49" s="125"/>
    </row>
    <row r="50" spans="12:61" ht="12.75">
      <c r="L50" s="2">
        <v>2002</v>
      </c>
      <c r="M50" s="31">
        <v>549288</v>
      </c>
      <c r="N50" s="31">
        <v>243769.57299999997</v>
      </c>
      <c r="O50" s="31">
        <v>443.7919142599146</v>
      </c>
      <c r="P50" s="2">
        <v>52000</v>
      </c>
      <c r="Q50" s="21">
        <f t="shared" si="36"/>
        <v>0.22432841680219842</v>
      </c>
      <c r="R50" s="31">
        <v>579</v>
      </c>
      <c r="S50" s="21">
        <f t="shared" si="37"/>
        <v>0.0024978106409321707</v>
      </c>
      <c r="T50" s="2">
        <f>P50*5.5</f>
        <v>286000</v>
      </c>
      <c r="U50" s="5">
        <f t="shared" si="33"/>
        <v>5.5</v>
      </c>
      <c r="V50" s="21">
        <f t="shared" si="38"/>
        <v>0.5201205734056531</v>
      </c>
      <c r="W50" s="29">
        <f t="shared" si="34"/>
        <v>211288</v>
      </c>
      <c r="X50" s="21">
        <f t="shared" si="39"/>
        <v>0.3842490759221456</v>
      </c>
      <c r="Y50" s="31">
        <f t="shared" si="35"/>
        <v>549873.2469468008</v>
      </c>
      <c r="Z50" s="6">
        <v>549872.5</v>
      </c>
      <c r="AA50" s="2">
        <v>2002</v>
      </c>
      <c r="AB50" s="31">
        <v>549288</v>
      </c>
      <c r="BC50" s="14"/>
      <c r="BD50" s="15" t="s">
        <v>59</v>
      </c>
      <c r="BE50" s="16">
        <v>56534</v>
      </c>
      <c r="BF50" s="121"/>
      <c r="BG50" s="121">
        <f>SUM(BG46:BG49)</f>
        <v>365937</v>
      </c>
      <c r="BH50" s="125"/>
      <c r="BI50" s="125"/>
    </row>
    <row r="51" spans="12:61" ht="12.75">
      <c r="L51" s="2">
        <v>2003</v>
      </c>
      <c r="M51" s="31">
        <v>822777</v>
      </c>
      <c r="N51" s="31">
        <v>334037.265</v>
      </c>
      <c r="O51" s="31">
        <v>405.987606605435</v>
      </c>
      <c r="P51" s="31">
        <v>57217</v>
      </c>
      <c r="Q51" s="21">
        <f t="shared" si="36"/>
        <v>0.2468345966186805</v>
      </c>
      <c r="R51" s="31">
        <v>827</v>
      </c>
      <c r="S51" s="21">
        <f t="shared" si="37"/>
        <v>0.00356768462875804</v>
      </c>
      <c r="T51" s="6">
        <v>443305.89634375</v>
      </c>
      <c r="U51" s="5">
        <f t="shared" si="33"/>
        <v>7.747800414977192</v>
      </c>
      <c r="V51" s="21">
        <f t="shared" si="38"/>
        <v>0.538246203417652</v>
      </c>
      <c r="W51" s="29">
        <f t="shared" si="34"/>
        <v>322254.10365625</v>
      </c>
      <c r="X51" s="21">
        <f t="shared" si="39"/>
        <v>0.3912694355281847</v>
      </c>
      <c r="Y51" s="31">
        <f t="shared" si="35"/>
        <v>823612.5364488997</v>
      </c>
      <c r="Z51" s="6">
        <v>823611.7478004149</v>
      </c>
      <c r="AA51" s="2">
        <v>2003</v>
      </c>
      <c r="AB51" s="31">
        <v>822777</v>
      </c>
      <c r="BC51" s="121"/>
      <c r="BD51" s="121"/>
      <c r="BE51" s="121"/>
      <c r="BF51" s="121"/>
      <c r="BG51" s="127">
        <f>BG50/BE50</f>
        <v>6.472865886015495</v>
      </c>
      <c r="BH51" s="125"/>
      <c r="BI51" s="125"/>
    </row>
    <row r="52" spans="12:61" ht="12.75">
      <c r="L52" s="2">
        <v>2004</v>
      </c>
      <c r="M52" s="31">
        <v>1165739</v>
      </c>
      <c r="N52" s="31">
        <v>423783.91500000004</v>
      </c>
      <c r="O52" s="31">
        <v>363.53241591814293</v>
      </c>
      <c r="P52" s="31">
        <v>92959</v>
      </c>
      <c r="Q52" s="21">
        <f t="shared" si="36"/>
        <v>0.4010258711060685</v>
      </c>
      <c r="R52" s="31">
        <v>1181</v>
      </c>
      <c r="S52" s="21">
        <f t="shared" si="37"/>
        <v>0.0050948434662191604</v>
      </c>
      <c r="T52" s="6">
        <v>555869.4625</v>
      </c>
      <c r="U52" s="5">
        <f>T52/P52</f>
        <v>5.979727218451146</v>
      </c>
      <c r="V52" s="21">
        <f t="shared" si="38"/>
        <v>0.4763536609493779</v>
      </c>
      <c r="W52" s="29">
        <f t="shared" si="34"/>
        <v>516910.5375</v>
      </c>
      <c r="X52" s="21">
        <f t="shared" si="39"/>
        <v>0.44296771730185786</v>
      </c>
      <c r="Y52" s="31">
        <f>P52+R52+T52+W52</f>
        <v>1166920</v>
      </c>
      <c r="Z52" s="6">
        <v>1166925.9797272184</v>
      </c>
      <c r="AA52" s="2">
        <v>2004</v>
      </c>
      <c r="AB52" s="31">
        <v>1165739</v>
      </c>
      <c r="BC52" s="125" t="s">
        <v>301</v>
      </c>
      <c r="BD52" s="125"/>
      <c r="BE52" s="125"/>
      <c r="BF52" s="125"/>
      <c r="BG52" s="125"/>
      <c r="BH52" s="125"/>
      <c r="BI52" s="125"/>
    </row>
    <row r="53" spans="12:61" ht="12.75">
      <c r="L53" s="2">
        <v>2005</v>
      </c>
      <c r="M53" s="31">
        <v>1013727</v>
      </c>
      <c r="N53" s="31">
        <v>374046.48600000003</v>
      </c>
      <c r="O53" s="31">
        <v>368.98147726162966</v>
      </c>
      <c r="P53" s="31">
        <v>88476</v>
      </c>
      <c r="Q53" s="21">
        <f t="shared" si="36"/>
        <v>0.38168617317290976</v>
      </c>
      <c r="R53" s="31">
        <v>2250</v>
      </c>
      <c r="S53" s="21">
        <f t="shared" si="37"/>
        <v>0.009706518034710508</v>
      </c>
      <c r="T53" s="2">
        <v>697015</v>
      </c>
      <c r="U53" s="5">
        <f>T53/P53</f>
        <v>7.8780121162801215</v>
      </c>
      <c r="V53" s="21">
        <f t="shared" si="38"/>
        <v>0.6860485968686707</v>
      </c>
      <c r="W53" s="29">
        <v>147807</v>
      </c>
      <c r="X53" s="21">
        <f t="shared" si="39"/>
        <v>0.145481496032894</v>
      </c>
      <c r="Y53" s="31">
        <f>P53+R53+T53+W53</f>
        <v>935548</v>
      </c>
      <c r="Z53" s="6">
        <v>1015984.8780121163</v>
      </c>
      <c r="AA53" s="2">
        <v>2005</v>
      </c>
      <c r="AB53" s="31">
        <v>1013727</v>
      </c>
      <c r="AL53"/>
      <c r="AM53"/>
      <c r="AN53"/>
      <c r="AO53"/>
      <c r="AP53"/>
      <c r="AQ53"/>
      <c r="AR53"/>
      <c r="AS53"/>
      <c r="AT53"/>
      <c r="AU53"/>
      <c r="AV53"/>
      <c r="AW53"/>
      <c r="AX53"/>
      <c r="AY53"/>
      <c r="AZ53"/>
      <c r="BA53"/>
      <c r="BC53" s="112" t="s">
        <v>294</v>
      </c>
      <c r="BD53" s="121">
        <v>2880</v>
      </c>
      <c r="BE53" s="121">
        <v>1039</v>
      </c>
      <c r="BF53" s="121">
        <f>BD53+BE53</f>
        <v>3919</v>
      </c>
      <c r="BG53" s="121">
        <f>BF53*2</f>
        <v>7838</v>
      </c>
      <c r="BH53" s="125"/>
      <c r="BI53" s="125"/>
    </row>
    <row r="54" spans="12:61" ht="12.75">
      <c r="L54" s="2">
        <v>2006</v>
      </c>
      <c r="M54" s="31">
        <v>1061758</v>
      </c>
      <c r="N54" s="31">
        <v>453944.52800000005</v>
      </c>
      <c r="O54" s="31">
        <v>427.54048285955935</v>
      </c>
      <c r="P54" s="31">
        <v>103752</v>
      </c>
      <c r="Q54" s="21">
        <f t="shared" si="36"/>
        <v>0.44758695961657097</v>
      </c>
      <c r="R54" s="2">
        <v>3000</v>
      </c>
      <c r="S54" s="21">
        <f t="shared" si="37"/>
        <v>0.012942024046280679</v>
      </c>
      <c r="T54" s="2">
        <v>874000</v>
      </c>
      <c r="U54" s="5">
        <f>T54/P54</f>
        <v>8.42393399645308</v>
      </c>
      <c r="V54" s="21">
        <f t="shared" si="38"/>
        <v>0.7679078320985276</v>
      </c>
      <c r="W54" s="31">
        <v>166807</v>
      </c>
      <c r="X54" s="21">
        <f t="shared" si="39"/>
        <v>0.14655881206963284</v>
      </c>
      <c r="Y54" s="31">
        <f t="shared" si="35"/>
        <v>1147568.6523708121</v>
      </c>
      <c r="Z54" s="6">
        <v>1138157.4239339964</v>
      </c>
      <c r="AA54" s="2">
        <v>2006</v>
      </c>
      <c r="AB54" s="31">
        <v>1061758</v>
      </c>
      <c r="AL54"/>
      <c r="AM54"/>
      <c r="AN54"/>
      <c r="AO54"/>
      <c r="AP54"/>
      <c r="AQ54"/>
      <c r="AR54"/>
      <c r="AS54"/>
      <c r="AT54"/>
      <c r="AU54"/>
      <c r="AV54"/>
      <c r="AW54"/>
      <c r="AX54"/>
      <c r="AY54"/>
      <c r="AZ54"/>
      <c r="BA54"/>
      <c r="BC54" s="112" t="s">
        <v>295</v>
      </c>
      <c r="BD54" s="121">
        <v>62836</v>
      </c>
      <c r="BE54" s="121">
        <v>17709</v>
      </c>
      <c r="BF54" s="121">
        <f aca="true" t="shared" si="40" ref="BF54:BF60">BD54+BE54</f>
        <v>80545</v>
      </c>
      <c r="BG54" s="121">
        <f>BF54*3</f>
        <v>241635</v>
      </c>
      <c r="BH54" s="125"/>
      <c r="BI54" s="125"/>
    </row>
    <row r="55" spans="55:61" ht="12.75">
      <c r="BC55" s="112" t="s">
        <v>296</v>
      </c>
      <c r="BD55" s="121">
        <v>53884</v>
      </c>
      <c r="BE55" s="121">
        <v>8527</v>
      </c>
      <c r="BF55" s="121">
        <f t="shared" si="40"/>
        <v>62411</v>
      </c>
      <c r="BG55" s="121">
        <f>BF55*4</f>
        <v>249644</v>
      </c>
      <c r="BH55" s="125"/>
      <c r="BI55" s="125"/>
    </row>
    <row r="56" spans="18:61" ht="12.75">
      <c r="R56" s="2"/>
      <c r="S56" s="111"/>
      <c r="AL56"/>
      <c r="AM56"/>
      <c r="AN56"/>
      <c r="AO56"/>
      <c r="AP56"/>
      <c r="AQ56"/>
      <c r="AR56"/>
      <c r="AS56"/>
      <c r="AT56"/>
      <c r="AU56"/>
      <c r="AV56"/>
      <c r="AW56"/>
      <c r="AX56"/>
      <c r="AY56"/>
      <c r="AZ56"/>
      <c r="BA56"/>
      <c r="BC56" s="112" t="s">
        <v>297</v>
      </c>
      <c r="BD56" s="121">
        <v>3714</v>
      </c>
      <c r="BE56" s="121">
        <v>294</v>
      </c>
      <c r="BF56" s="121">
        <f t="shared" si="40"/>
        <v>4008</v>
      </c>
      <c r="BG56" s="121">
        <f>BF56*4.6</f>
        <v>18436.8</v>
      </c>
      <c r="BH56" s="125"/>
      <c r="BI56" s="125"/>
    </row>
    <row r="57" spans="18:61" ht="12.75">
      <c r="R57" s="2"/>
      <c r="S57" s="111"/>
      <c r="AL57"/>
      <c r="AM57"/>
      <c r="AN57"/>
      <c r="AO57"/>
      <c r="AP57"/>
      <c r="AQ57"/>
      <c r="AR57"/>
      <c r="AS57"/>
      <c r="AT57"/>
      <c r="AU57"/>
      <c r="AV57"/>
      <c r="AW57"/>
      <c r="AX57"/>
      <c r="AY57"/>
      <c r="AZ57"/>
      <c r="BA57"/>
      <c r="BC57" s="112" t="s">
        <v>298</v>
      </c>
      <c r="BD57" s="121">
        <v>37903</v>
      </c>
      <c r="BE57" s="121">
        <v>4476</v>
      </c>
      <c r="BF57" s="121">
        <f t="shared" si="40"/>
        <v>42379</v>
      </c>
      <c r="BG57" s="121">
        <f>BF57*5.4</f>
        <v>228846.6</v>
      </c>
      <c r="BH57" s="125"/>
      <c r="BI57" s="125"/>
    </row>
    <row r="58" spans="18:61" ht="12.75">
      <c r="R58" s="2"/>
      <c r="S58" s="111"/>
      <c r="AL58"/>
      <c r="AM58"/>
      <c r="AN58"/>
      <c r="AO58"/>
      <c r="AP58"/>
      <c r="AQ58"/>
      <c r="AR58"/>
      <c r="AS58"/>
      <c r="AT58"/>
      <c r="AU58"/>
      <c r="AV58"/>
      <c r="AW58"/>
      <c r="AX58"/>
      <c r="AY58"/>
      <c r="AZ58"/>
      <c r="BA58"/>
      <c r="BC58" s="112" t="s">
        <v>299</v>
      </c>
      <c r="BD58" s="121">
        <v>140445</v>
      </c>
      <c r="BE58" s="121">
        <v>12636</v>
      </c>
      <c r="BF58" s="121">
        <f t="shared" si="40"/>
        <v>153081</v>
      </c>
      <c r="BG58" s="121">
        <f>BF58*7.5</f>
        <v>1148107.5</v>
      </c>
      <c r="BH58" s="125"/>
      <c r="BI58" s="125"/>
    </row>
    <row r="59" spans="18:61" ht="12.75">
      <c r="R59" s="2"/>
      <c r="S59" s="111"/>
      <c r="AL59"/>
      <c r="AM59"/>
      <c r="AN59"/>
      <c r="AO59"/>
      <c r="AP59"/>
      <c r="AQ59"/>
      <c r="AR59"/>
      <c r="AS59"/>
      <c r="AT59"/>
      <c r="AU59"/>
      <c r="AV59"/>
      <c r="AW59"/>
      <c r="AX59"/>
      <c r="AY59"/>
      <c r="AZ59"/>
      <c r="BA59"/>
      <c r="BC59" s="112" t="s">
        <v>300</v>
      </c>
      <c r="BD59" s="121">
        <v>46164</v>
      </c>
      <c r="BE59" s="121">
        <v>6116</v>
      </c>
      <c r="BF59" s="121">
        <f t="shared" si="40"/>
        <v>52280</v>
      </c>
      <c r="BG59" s="121">
        <f>BF59*9</f>
        <v>470520</v>
      </c>
      <c r="BH59" s="125"/>
      <c r="BI59" s="125"/>
    </row>
    <row r="60" spans="18:61" ht="12.75">
      <c r="R60" s="2"/>
      <c r="S60" s="111"/>
      <c r="AL60"/>
      <c r="AM60"/>
      <c r="AN60"/>
      <c r="AO60"/>
      <c r="AP60"/>
      <c r="AQ60"/>
      <c r="AR60"/>
      <c r="AS60"/>
      <c r="AT60"/>
      <c r="AU60"/>
      <c r="AV60"/>
      <c r="AW60"/>
      <c r="AX60"/>
      <c r="AY60"/>
      <c r="AZ60"/>
      <c r="BA60"/>
      <c r="BC60" s="112" t="s">
        <v>302</v>
      </c>
      <c r="BD60" s="121">
        <v>421</v>
      </c>
      <c r="BE60" s="121">
        <v>0</v>
      </c>
      <c r="BF60" s="121">
        <f t="shared" si="40"/>
        <v>421</v>
      </c>
      <c r="BG60" s="121">
        <f>BF60*18</f>
        <v>7578</v>
      </c>
      <c r="BH60" s="125"/>
      <c r="BI60" s="125"/>
    </row>
    <row r="61" spans="18:59" ht="12.75">
      <c r="R61" s="2"/>
      <c r="AL61"/>
      <c r="AM61"/>
      <c r="AN61"/>
      <c r="AO61"/>
      <c r="AP61"/>
      <c r="AQ61"/>
      <c r="AR61"/>
      <c r="AS61"/>
      <c r="AT61"/>
      <c r="AU61"/>
      <c r="AV61"/>
      <c r="AW61"/>
      <c r="AX61"/>
      <c r="AY61"/>
      <c r="AZ61"/>
      <c r="BA61"/>
      <c r="BC61" s="9"/>
      <c r="BD61" s="9">
        <f>SUM(BD53:BD60)</f>
        <v>348247</v>
      </c>
      <c r="BE61" s="9">
        <f>SUM(BE53:BE60)</f>
        <v>50797</v>
      </c>
      <c r="BF61" s="9">
        <f>SUM(BD61:BE61)</f>
        <v>399044</v>
      </c>
      <c r="BG61" s="9">
        <f>SUM(BG53:BG60)</f>
        <v>2372605.9</v>
      </c>
    </row>
    <row r="62" spans="18:59" ht="12.75">
      <c r="R62" s="2"/>
      <c r="AL62"/>
      <c r="AM62"/>
      <c r="AN62"/>
      <c r="AO62"/>
      <c r="AP62"/>
      <c r="AQ62"/>
      <c r="AR62"/>
      <c r="AS62"/>
      <c r="AT62"/>
      <c r="AU62"/>
      <c r="AV62"/>
      <c r="AW62"/>
      <c r="AX62"/>
      <c r="AY62"/>
      <c r="AZ62"/>
      <c r="BA62"/>
      <c r="BG62" s="98">
        <f>BG61/BF61</f>
        <v>5.945725032828459</v>
      </c>
    </row>
    <row r="63" spans="18:53" ht="12.75">
      <c r="R63" s="2"/>
      <c r="AL63"/>
      <c r="AM63"/>
      <c r="AN63"/>
      <c r="AO63"/>
      <c r="AP63"/>
      <c r="AQ63"/>
      <c r="AR63"/>
      <c r="AS63"/>
      <c r="AT63"/>
      <c r="AU63"/>
      <c r="AV63"/>
      <c r="AW63"/>
      <c r="AX63"/>
      <c r="AY63"/>
      <c r="AZ63"/>
      <c r="BA63"/>
    </row>
    <row r="64" spans="18:53" ht="12.75">
      <c r="R64" s="2"/>
      <c r="AL64"/>
      <c r="AM64"/>
      <c r="AN64"/>
      <c r="AO64"/>
      <c r="AP64"/>
      <c r="AQ64"/>
      <c r="AR64"/>
      <c r="AS64"/>
      <c r="AT64"/>
      <c r="AU64"/>
      <c r="AV64"/>
      <c r="AW64"/>
      <c r="AX64"/>
      <c r="AY64"/>
      <c r="AZ64"/>
      <c r="BA64"/>
    </row>
    <row r="65" spans="18:53" ht="12.75">
      <c r="R65" s="2"/>
      <c r="AL65"/>
      <c r="AM65"/>
      <c r="AN65"/>
      <c r="AO65"/>
      <c r="AP65"/>
      <c r="AQ65"/>
      <c r="AR65"/>
      <c r="AS65"/>
      <c r="AT65"/>
      <c r="AU65"/>
      <c r="AV65"/>
      <c r="AW65"/>
      <c r="AX65"/>
      <c r="AY65"/>
      <c r="AZ65"/>
      <c r="BA65"/>
    </row>
    <row r="66" spans="18:53" ht="12.75">
      <c r="R66" s="2"/>
      <c r="AL66"/>
      <c r="AM66"/>
      <c r="AN66"/>
      <c r="AO66"/>
      <c r="AP66"/>
      <c r="AQ66"/>
      <c r="AR66"/>
      <c r="AS66"/>
      <c r="AT66"/>
      <c r="AU66"/>
      <c r="AV66"/>
      <c r="AW66"/>
      <c r="AX66"/>
      <c r="AY66"/>
      <c r="AZ66"/>
      <c r="BA66"/>
    </row>
    <row r="67" spans="18:53" ht="12.75">
      <c r="R67" s="2"/>
      <c r="AL67"/>
      <c r="AM67"/>
      <c r="AN67"/>
      <c r="AO67"/>
      <c r="AP67"/>
      <c r="AQ67"/>
      <c r="AR67"/>
      <c r="AS67"/>
      <c r="AT67"/>
      <c r="AU67"/>
      <c r="AV67"/>
      <c r="AW67"/>
      <c r="AX67"/>
      <c r="AY67"/>
      <c r="AZ67"/>
      <c r="BA67"/>
    </row>
    <row r="68" spans="18:53" ht="12.75">
      <c r="R68" s="2"/>
      <c r="AL68"/>
      <c r="AM68"/>
      <c r="AN68"/>
      <c r="AO68"/>
      <c r="AP68"/>
      <c r="AQ68"/>
      <c r="AR68"/>
      <c r="AS68"/>
      <c r="AT68"/>
      <c r="AU68"/>
      <c r="AV68"/>
      <c r="AW68"/>
      <c r="AX68"/>
      <c r="AY68"/>
      <c r="AZ68"/>
      <c r="BA68"/>
    </row>
    <row r="69" spans="18:53" ht="12.75">
      <c r="R69" s="2"/>
      <c r="AL69"/>
      <c r="AM69"/>
      <c r="AN69"/>
      <c r="AO69"/>
      <c r="AP69"/>
      <c r="AQ69"/>
      <c r="AR69"/>
      <c r="AS69"/>
      <c r="AT69"/>
      <c r="AU69"/>
      <c r="AV69"/>
      <c r="AW69"/>
      <c r="AX69"/>
      <c r="AY69"/>
      <c r="AZ69"/>
      <c r="BA69"/>
    </row>
    <row r="70" spans="18:53" ht="12.75">
      <c r="R70" s="2"/>
      <c r="AL70"/>
      <c r="AM70"/>
      <c r="AN70"/>
      <c r="AO70"/>
      <c r="AP70"/>
      <c r="AQ70"/>
      <c r="AR70"/>
      <c r="AS70"/>
      <c r="AT70"/>
      <c r="AU70"/>
      <c r="AV70"/>
      <c r="AW70"/>
      <c r="AX70"/>
      <c r="AY70"/>
      <c r="AZ70"/>
      <c r="BA70"/>
    </row>
    <row r="71" spans="18:53" ht="12.75">
      <c r="R71" s="2"/>
      <c r="AL71"/>
      <c r="AM71"/>
      <c r="AN71"/>
      <c r="AO71"/>
      <c r="AP71"/>
      <c r="AQ71"/>
      <c r="AR71"/>
      <c r="AS71"/>
      <c r="AT71"/>
      <c r="AU71"/>
      <c r="AV71"/>
      <c r="AW71"/>
      <c r="AX71"/>
      <c r="AY71"/>
      <c r="AZ71"/>
      <c r="BA71"/>
    </row>
    <row r="72" spans="18:53" ht="12.75">
      <c r="R72" s="2"/>
      <c r="S72" s="2">
        <v>2005</v>
      </c>
      <c r="T72" s="2">
        <v>697015</v>
      </c>
      <c r="U72" s="2">
        <v>228236</v>
      </c>
      <c r="AL72"/>
      <c r="AM72"/>
      <c r="AN72"/>
      <c r="AO72"/>
      <c r="AP72"/>
      <c r="AQ72"/>
      <c r="AR72"/>
      <c r="AS72"/>
      <c r="AT72"/>
      <c r="AU72"/>
      <c r="AV72"/>
      <c r="AW72"/>
      <c r="AX72"/>
      <c r="AY72"/>
      <c r="AZ72"/>
      <c r="BA72"/>
    </row>
    <row r="73" spans="18:53" ht="12.75">
      <c r="R73" s="2"/>
      <c r="S73" s="2">
        <v>2006</v>
      </c>
      <c r="T73" s="2">
        <v>874000</v>
      </c>
      <c r="U73" s="2">
        <v>157397</v>
      </c>
      <c r="AL73"/>
      <c r="AM73"/>
      <c r="AN73"/>
      <c r="AO73"/>
      <c r="AP73"/>
      <c r="AQ73"/>
      <c r="AR73"/>
      <c r="AS73"/>
      <c r="AT73"/>
      <c r="AU73"/>
      <c r="AV73"/>
      <c r="AW73"/>
      <c r="AX73"/>
      <c r="AY73"/>
      <c r="AZ73"/>
      <c r="BA73"/>
    </row>
    <row r="74" spans="18:53" ht="12.75">
      <c r="R74" s="2"/>
      <c r="AL74"/>
      <c r="AM74"/>
      <c r="AN74"/>
      <c r="AO74"/>
      <c r="AP74"/>
      <c r="AQ74"/>
      <c r="AR74"/>
      <c r="AS74"/>
      <c r="AT74"/>
      <c r="AU74"/>
      <c r="AV74"/>
      <c r="AW74"/>
      <c r="AX74"/>
      <c r="AY74"/>
      <c r="AZ74"/>
      <c r="BA74"/>
    </row>
    <row r="75" ht="12.75">
      <c r="BB75" s="2"/>
    </row>
    <row r="76" ht="12.75">
      <c r="BB76" s="2"/>
    </row>
    <row r="77" ht="12.75">
      <c r="BB77" s="2"/>
    </row>
    <row r="78" ht="12.75">
      <c r="BB78" s="2"/>
    </row>
    <row r="79" ht="12.75">
      <c r="BB79" s="2"/>
    </row>
    <row r="80" spans="10:54" ht="12.75">
      <c r="J80" s="20"/>
      <c r="BB80" s="2"/>
    </row>
    <row r="81" ht="12.75">
      <c r="BB81" s="2"/>
    </row>
    <row r="82" spans="1:53" s="20" customFormat="1" ht="12.75">
      <c r="A82"/>
      <c r="B82"/>
      <c r="C82"/>
      <c r="D82"/>
      <c r="E82"/>
      <c r="F82"/>
      <c r="G82"/>
      <c r="H82"/>
      <c r="I82"/>
      <c r="J82"/>
      <c r="K82"/>
      <c r="L82"/>
      <c r="M82"/>
      <c r="N82"/>
      <c r="O82"/>
      <c r="P82"/>
      <c r="Q82"/>
      <c r="R8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row>
    <row r="88" spans="11:53" ht="12.75">
      <c r="K88" s="20"/>
      <c r="L88" s="20"/>
      <c r="M88" s="20"/>
      <c r="N88" s="20"/>
      <c r="O88" s="20"/>
      <c r="P88" s="20"/>
      <c r="Q88" s="20"/>
      <c r="R88" s="20"/>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row>
    <row r="90" ht="12.75">
      <c r="S90"/>
    </row>
    <row r="91" ht="12.75">
      <c r="S91"/>
    </row>
    <row r="92" ht="12.75">
      <c r="S92"/>
    </row>
    <row r="93" ht="12.75">
      <c r="S93"/>
    </row>
    <row r="94" ht="12.75">
      <c r="S94"/>
    </row>
    <row r="95" ht="12.75">
      <c r="S95"/>
    </row>
    <row r="96" ht="12.75">
      <c r="S96"/>
    </row>
  </sheetData>
  <sheetProtection/>
  <printOptions/>
  <pageMargins left="0.75" right="0.75" top="1" bottom="1" header="0.5" footer="0.5"/>
  <pageSetup horizontalDpi="200" verticalDpi="200" orientation="portrait" r:id="rId4"/>
  <drawing r:id="rId3"/>
  <legacyDrawing r:id="rId2"/>
</worksheet>
</file>

<file path=xl/worksheets/sheet21.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
    </sheetView>
  </sheetViews>
  <sheetFormatPr defaultColWidth="9.140625" defaultRowHeight="12.75"/>
  <cols>
    <col min="1" max="1" width="20.140625" style="0" customWidth="1"/>
    <col min="2" max="2" width="10.7109375" style="2" customWidth="1"/>
    <col min="3" max="3" width="13.00390625" style="2" customWidth="1"/>
    <col min="4" max="4" width="14.140625" style="2" bestFit="1" customWidth="1"/>
    <col min="5" max="5" width="9.57421875" style="2" customWidth="1"/>
    <col min="6" max="6" width="11.421875" style="2" bestFit="1" customWidth="1"/>
    <col min="7" max="7" width="9.8515625" style="2" customWidth="1"/>
    <col min="8" max="8" width="9.7109375" style="2" bestFit="1" customWidth="1"/>
    <col min="9" max="9" width="11.00390625" style="2" customWidth="1"/>
    <col min="11" max="11" width="9.57421875" style="0" bestFit="1" customWidth="1"/>
  </cols>
  <sheetData>
    <row r="1" ht="15.75">
      <c r="A1" s="97" t="s">
        <v>632</v>
      </c>
    </row>
    <row r="2" spans="1:11" ht="45.75" customHeight="1">
      <c r="A2" s="4" t="s">
        <v>3</v>
      </c>
      <c r="B2" s="4" t="s">
        <v>7</v>
      </c>
      <c r="C2" s="4" t="s">
        <v>11</v>
      </c>
      <c r="D2" s="4" t="s">
        <v>4</v>
      </c>
      <c r="E2" s="4" t="s">
        <v>12</v>
      </c>
      <c r="F2" s="4" t="s">
        <v>5</v>
      </c>
      <c r="G2" s="4" t="s">
        <v>6</v>
      </c>
      <c r="H2" s="4" t="s">
        <v>10</v>
      </c>
      <c r="I2" s="4" t="s">
        <v>78</v>
      </c>
      <c r="J2" s="4" t="s">
        <v>48</v>
      </c>
      <c r="K2" s="4" t="s">
        <v>194</v>
      </c>
    </row>
    <row r="3" spans="1:10" ht="12.75">
      <c r="A3" t="s">
        <v>8</v>
      </c>
      <c r="B3" s="12">
        <v>2006</v>
      </c>
      <c r="C3" s="12"/>
      <c r="D3" s="12">
        <v>136830</v>
      </c>
      <c r="E3" s="12"/>
      <c r="F3" s="12">
        <v>146626</v>
      </c>
      <c r="G3" s="19">
        <f>F3/D3*1000</f>
        <v>1071.5924870276988</v>
      </c>
      <c r="H3" s="11"/>
      <c r="I3" s="33"/>
      <c r="J3" s="23"/>
    </row>
    <row r="4" spans="1:11" ht="12.75">
      <c r="A4" t="s">
        <v>9</v>
      </c>
      <c r="B4" s="4"/>
      <c r="C4" s="12"/>
      <c r="D4" s="12">
        <v>133395</v>
      </c>
      <c r="E4" s="11">
        <f>(D4-D7)/D7</f>
        <v>0.14584764980758658</v>
      </c>
      <c r="F4" s="12">
        <v>278753</v>
      </c>
      <c r="G4" s="12">
        <v>2090</v>
      </c>
      <c r="H4" s="11">
        <v>0.9</v>
      </c>
      <c r="I4" s="33">
        <f>D4/H4</f>
        <v>148216.66666666666</v>
      </c>
      <c r="J4" s="23">
        <v>0.7</v>
      </c>
      <c r="K4" s="33">
        <f>I4*J4</f>
        <v>103751.66666666666</v>
      </c>
    </row>
    <row r="5" spans="1:9" ht="12.75">
      <c r="A5" t="s">
        <v>60</v>
      </c>
      <c r="B5" s="4"/>
      <c r="C5" s="12"/>
      <c r="D5" s="12"/>
      <c r="E5" s="12"/>
      <c r="F5" s="12">
        <f>SUM(F3:F4)</f>
        <v>425379</v>
      </c>
      <c r="G5" s="19">
        <f>F5/D4*1000</f>
        <v>3188.8676487124703</v>
      </c>
      <c r="H5" s="12"/>
      <c r="I5"/>
    </row>
    <row r="6" spans="1:9" ht="12.75">
      <c r="A6" t="s">
        <v>8</v>
      </c>
      <c r="B6" s="12">
        <v>2005</v>
      </c>
      <c r="C6" s="12"/>
      <c r="D6" s="12">
        <v>117670</v>
      </c>
      <c r="E6" s="12"/>
      <c r="F6" s="12">
        <v>121770</v>
      </c>
      <c r="G6" s="19">
        <f>F6/D6*1000</f>
        <v>1034.8432055749129</v>
      </c>
      <c r="H6" s="12"/>
      <c r="I6"/>
    </row>
    <row r="7" spans="1:11" ht="12.75">
      <c r="A7" t="s">
        <v>9</v>
      </c>
      <c r="B7" s="4"/>
      <c r="C7" s="12"/>
      <c r="D7" s="12">
        <v>116416</v>
      </c>
      <c r="E7" s="11">
        <f>(D7-D10)/D10</f>
        <v>-0.07187958415715288</v>
      </c>
      <c r="F7" s="12">
        <v>238923</v>
      </c>
      <c r="G7" s="12">
        <v>2052</v>
      </c>
      <c r="H7" s="11">
        <v>0.9</v>
      </c>
      <c r="I7" s="33">
        <f>D7/H7</f>
        <v>129351.11111111111</v>
      </c>
      <c r="J7" s="28">
        <v>0.684</v>
      </c>
      <c r="K7" s="33">
        <f>I7*J7</f>
        <v>88476.16</v>
      </c>
    </row>
    <row r="8" spans="1:9" ht="12.75">
      <c r="A8" t="s">
        <v>60</v>
      </c>
      <c r="B8" s="4"/>
      <c r="C8" s="12"/>
      <c r="D8" s="12"/>
      <c r="E8" s="12"/>
      <c r="F8" s="12">
        <v>360695</v>
      </c>
      <c r="G8" s="19">
        <f>F8/D7*1000</f>
        <v>3098.32840846619</v>
      </c>
      <c r="H8" s="12"/>
      <c r="I8"/>
    </row>
    <row r="9" spans="1:9" ht="12.75">
      <c r="A9" t="s">
        <v>8</v>
      </c>
      <c r="B9" s="2">
        <v>2004</v>
      </c>
      <c r="C9" s="2" t="s">
        <v>13</v>
      </c>
      <c r="D9" s="2">
        <v>127470</v>
      </c>
      <c r="F9" s="2">
        <v>131969</v>
      </c>
      <c r="G9" s="6">
        <f>F9/D9*1000</f>
        <v>1035.2945791166549</v>
      </c>
      <c r="I9"/>
    </row>
    <row r="10" spans="1:11" ht="12.75">
      <c r="A10" t="s">
        <v>9</v>
      </c>
      <c r="C10" s="2" t="s">
        <v>13</v>
      </c>
      <c r="D10" s="2">
        <v>125432</v>
      </c>
      <c r="E10" s="11">
        <f>(D10-D13)/D13</f>
        <v>0.5832575987074624</v>
      </c>
      <c r="F10" s="2">
        <v>260918</v>
      </c>
      <c r="G10" s="2">
        <v>2080</v>
      </c>
      <c r="H10" s="11">
        <v>0.9</v>
      </c>
      <c r="I10" s="33">
        <f>D10/H10</f>
        <v>139368.88888888888</v>
      </c>
      <c r="J10" s="28">
        <v>0.667</v>
      </c>
      <c r="K10" s="33">
        <f>I10*J10</f>
        <v>92959.04888888888</v>
      </c>
    </row>
    <row r="11" spans="1:9" ht="12.75">
      <c r="A11" t="s">
        <v>60</v>
      </c>
      <c r="C11" s="5">
        <v>15</v>
      </c>
      <c r="D11" s="2" t="s">
        <v>13</v>
      </c>
      <c r="F11" s="2">
        <v>392887</v>
      </c>
      <c r="G11" s="6">
        <f>F11/D10*1000</f>
        <v>3132.270871866828</v>
      </c>
      <c r="I11"/>
    </row>
    <row r="12" spans="1:9" ht="12.75">
      <c r="A12" t="s">
        <v>8</v>
      </c>
      <c r="B12" s="2">
        <v>2003</v>
      </c>
      <c r="D12" s="2" t="s">
        <v>13</v>
      </c>
      <c r="F12" s="2" t="s">
        <v>13</v>
      </c>
      <c r="G12" s="2" t="s">
        <v>13</v>
      </c>
      <c r="I12"/>
    </row>
    <row r="13" spans="1:11" ht="12.75">
      <c r="A13" t="s">
        <v>9</v>
      </c>
      <c r="D13" s="2">
        <v>79224</v>
      </c>
      <c r="F13" s="2" t="s">
        <v>13</v>
      </c>
      <c r="G13" s="2" t="s">
        <v>13</v>
      </c>
      <c r="H13" s="11">
        <v>0.9</v>
      </c>
      <c r="I13" s="33">
        <f>D13/H13</f>
        <v>88026.66666666667</v>
      </c>
      <c r="J13" s="23">
        <v>0.65</v>
      </c>
      <c r="K13" s="33">
        <f>I13*J13</f>
        <v>57217.333333333336</v>
      </c>
    </row>
    <row r="14" spans="1:9" ht="12.75">
      <c r="A14" t="s">
        <v>60</v>
      </c>
      <c r="D14" s="2" t="s">
        <v>13</v>
      </c>
      <c r="F14" s="2">
        <v>254485</v>
      </c>
      <c r="G14" s="2">
        <v>3212</v>
      </c>
      <c r="I14"/>
    </row>
    <row r="15" ht="12.75">
      <c r="I15"/>
    </row>
    <row r="18" spans="1:2" ht="12.75">
      <c r="A18" s="1" t="s">
        <v>0</v>
      </c>
      <c r="B18" s="3"/>
    </row>
    <row r="19" ht="12.75">
      <c r="A19" t="s">
        <v>1</v>
      </c>
    </row>
    <row r="20" ht="12.75">
      <c r="A20" t="s">
        <v>14</v>
      </c>
    </row>
    <row r="21" ht="12.75">
      <c r="A21" t="s">
        <v>662</v>
      </c>
    </row>
    <row r="22" ht="12.75">
      <c r="A22" t="s">
        <v>16</v>
      </c>
    </row>
    <row r="23" ht="12.75">
      <c r="A23" t="s">
        <v>50</v>
      </c>
    </row>
    <row r="25" ht="12.75">
      <c r="A25" s="1" t="s">
        <v>63</v>
      </c>
    </row>
    <row r="26" ht="12.75">
      <c r="A26" s="26" t="s">
        <v>67</v>
      </c>
    </row>
    <row r="27" ht="12.75">
      <c r="A27" s="26" t="s">
        <v>68</v>
      </c>
    </row>
    <row r="28" ht="12.75">
      <c r="A28" s="26" t="s">
        <v>69</v>
      </c>
    </row>
    <row r="29" ht="12.75">
      <c r="A29" s="26" t="s">
        <v>70</v>
      </c>
    </row>
    <row r="30" ht="12.75">
      <c r="A30" s="26" t="s">
        <v>71</v>
      </c>
    </row>
    <row r="31" ht="12.75">
      <c r="A31" s="26" t="s">
        <v>72</v>
      </c>
    </row>
    <row r="32" ht="12.75">
      <c r="A32" s="26" t="s">
        <v>79</v>
      </c>
    </row>
    <row r="33" ht="12.75">
      <c r="A33" s="26" t="s">
        <v>80</v>
      </c>
    </row>
    <row r="34" ht="26.25">
      <c r="A34" s="26" t="s">
        <v>73</v>
      </c>
    </row>
    <row r="35" ht="12.75">
      <c r="A35" s="26" t="s">
        <v>74</v>
      </c>
    </row>
    <row r="36" ht="12.75">
      <c r="A36" s="26" t="s">
        <v>75</v>
      </c>
    </row>
    <row r="37" ht="12.75">
      <c r="A37" s="26" t="s">
        <v>81</v>
      </c>
    </row>
    <row r="38" ht="12.75">
      <c r="A38" s="26" t="s">
        <v>76</v>
      </c>
    </row>
    <row r="39" ht="12.75">
      <c r="A39" s="26" t="s">
        <v>77</v>
      </c>
    </row>
  </sheetData>
  <sheetProtection/>
  <printOptions/>
  <pageMargins left="0.75" right="0.75" top="1" bottom="1" header="0.5" footer="0.5"/>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K26"/>
  <sheetViews>
    <sheetView zoomScalePageLayoutView="0" workbookViewId="0" topLeftCell="A1">
      <selection activeCell="A16" sqref="A16"/>
    </sheetView>
  </sheetViews>
  <sheetFormatPr defaultColWidth="9.140625" defaultRowHeight="12.75"/>
  <cols>
    <col min="1" max="1" width="20.140625" style="0" customWidth="1"/>
    <col min="2" max="2" width="10.7109375" style="2" customWidth="1"/>
    <col min="3" max="3" width="13.00390625" style="2" customWidth="1"/>
    <col min="4" max="4" width="14.140625" style="2" bestFit="1" customWidth="1"/>
    <col min="5" max="5" width="9.57421875" style="2" customWidth="1"/>
    <col min="6" max="6" width="11.421875" style="2" bestFit="1" customWidth="1"/>
    <col min="7" max="7" width="9.8515625" style="2" customWidth="1"/>
    <col min="8" max="8" width="8.8515625" style="2" bestFit="1" customWidth="1"/>
    <col min="9" max="11" width="9.140625" style="2" customWidth="1"/>
  </cols>
  <sheetData>
    <row r="1" spans="1:11" ht="39">
      <c r="A1" s="4" t="s">
        <v>3</v>
      </c>
      <c r="B1" s="4" t="s">
        <v>7</v>
      </c>
      <c r="C1" s="4" t="s">
        <v>11</v>
      </c>
      <c r="D1" s="4" t="s">
        <v>4</v>
      </c>
      <c r="E1" s="4" t="s">
        <v>12</v>
      </c>
      <c r="F1" s="4" t="s">
        <v>5</v>
      </c>
      <c r="G1" s="4" t="s">
        <v>12</v>
      </c>
      <c r="H1" s="4" t="s">
        <v>6</v>
      </c>
      <c r="I1" s="4" t="s">
        <v>10</v>
      </c>
      <c r="J1" s="4" t="s">
        <v>48</v>
      </c>
      <c r="K1" s="4" t="s">
        <v>47</v>
      </c>
    </row>
    <row r="2" spans="1:11" ht="12.75">
      <c r="A2" t="s">
        <v>46</v>
      </c>
      <c r="B2" s="12">
        <v>2006</v>
      </c>
      <c r="C2" s="12"/>
      <c r="D2" s="12">
        <v>4675</v>
      </c>
      <c r="E2" s="11">
        <f>(D2-D3)/D3</f>
        <v>0.1322354080891257</v>
      </c>
      <c r="F2" s="12">
        <v>38576</v>
      </c>
      <c r="G2" s="11">
        <f>(F2-F3)/F3</f>
        <v>0.10777359790942767</v>
      </c>
      <c r="H2" s="12">
        <v>8252</v>
      </c>
      <c r="I2" s="11">
        <v>0.9</v>
      </c>
      <c r="J2" s="11">
        <v>0.25</v>
      </c>
      <c r="K2" s="2">
        <v>25</v>
      </c>
    </row>
    <row r="3" spans="1:11" s="20" customFormat="1" ht="12.75">
      <c r="A3" s="12"/>
      <c r="B3" s="12">
        <v>2005</v>
      </c>
      <c r="C3" s="12"/>
      <c r="D3" s="12">
        <v>4129</v>
      </c>
      <c r="E3" s="11">
        <f>(D3-D4)/D4</f>
        <v>-0.020867915579796063</v>
      </c>
      <c r="F3" s="12">
        <v>34823</v>
      </c>
      <c r="G3" s="11">
        <f>(F3-F4)/F4</f>
        <v>-0.02152350445362331</v>
      </c>
      <c r="H3" s="12">
        <v>8471</v>
      </c>
      <c r="I3" s="12"/>
      <c r="J3" s="12"/>
      <c r="K3" s="12"/>
    </row>
    <row r="4" spans="2:8" ht="12.75">
      <c r="B4" s="2">
        <v>2004</v>
      </c>
      <c r="C4" s="5">
        <v>47.6</v>
      </c>
      <c r="D4" s="2">
        <v>4217</v>
      </c>
      <c r="E4" s="11">
        <f>(D4-D5)/D5</f>
        <v>-0.03611428571428572</v>
      </c>
      <c r="F4" s="2">
        <v>35589</v>
      </c>
      <c r="G4" s="11">
        <f>(F4-F5)/F5</f>
        <v>-0.09491111619745174</v>
      </c>
      <c r="H4" s="6">
        <v>8440</v>
      </c>
    </row>
    <row r="5" spans="2:8" ht="12.75">
      <c r="B5" s="2">
        <v>2003</v>
      </c>
      <c r="D5" s="2">
        <v>4375</v>
      </c>
      <c r="F5" s="2">
        <v>39321</v>
      </c>
      <c r="H5" s="2">
        <v>8988</v>
      </c>
    </row>
    <row r="9" spans="1:2" ht="12.75">
      <c r="A9" s="1" t="s">
        <v>0</v>
      </c>
      <c r="B9" s="3"/>
    </row>
    <row r="10" ht="12.75">
      <c r="A10" t="s">
        <v>1</v>
      </c>
    </row>
    <row r="11" ht="12.75">
      <c r="A11" t="s">
        <v>14</v>
      </c>
    </row>
    <row r="12" ht="12.75">
      <c r="A12" t="s">
        <v>51</v>
      </c>
    </row>
    <row r="13" ht="12.75">
      <c r="A13" t="s">
        <v>49</v>
      </c>
    </row>
    <row r="15" ht="12.75">
      <c r="A15" s="1" t="s">
        <v>63</v>
      </c>
    </row>
    <row r="16" ht="12.75">
      <c r="A16" s="26" t="s">
        <v>67</v>
      </c>
    </row>
    <row r="17" ht="12.75">
      <c r="A17" s="26" t="s">
        <v>68</v>
      </c>
    </row>
    <row r="18" ht="12.75">
      <c r="A18" s="26" t="s">
        <v>69</v>
      </c>
    </row>
    <row r="19" ht="12.75">
      <c r="A19" s="26" t="s">
        <v>70</v>
      </c>
    </row>
    <row r="20" ht="12.75">
      <c r="A20" s="26" t="s">
        <v>71</v>
      </c>
    </row>
    <row r="21" ht="12.75">
      <c r="A21" s="26" t="s">
        <v>72</v>
      </c>
    </row>
    <row r="22" ht="26.25">
      <c r="A22" s="26" t="s">
        <v>73</v>
      </c>
    </row>
    <row r="23" ht="12.75">
      <c r="A23" s="26" t="s">
        <v>74</v>
      </c>
    </row>
    <row r="24" ht="12.75">
      <c r="A24" s="26" t="s">
        <v>75</v>
      </c>
    </row>
    <row r="25" ht="12.75">
      <c r="A25" s="26" t="s">
        <v>76</v>
      </c>
    </row>
    <row r="26" ht="12.75">
      <c r="A26" s="26" t="s">
        <v>77</v>
      </c>
    </row>
  </sheetData>
  <sheetProtection/>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140625" defaultRowHeight="12.75"/>
  <cols>
    <col min="1" max="1" width="20.140625" style="0" customWidth="1"/>
    <col min="2" max="2" width="10.7109375" style="2" customWidth="1"/>
    <col min="3" max="3" width="13.00390625" style="2" customWidth="1"/>
    <col min="4" max="4" width="14.140625" style="2" bestFit="1" customWidth="1"/>
    <col min="5" max="5" width="9.57421875" style="2" customWidth="1"/>
    <col min="6" max="6" width="11.421875" style="2" bestFit="1" customWidth="1"/>
    <col min="7" max="7" width="9.8515625" style="2" customWidth="1"/>
    <col min="8" max="8" width="8.8515625" style="2" bestFit="1" customWidth="1"/>
    <col min="9" max="9" width="9.140625" style="2" customWidth="1"/>
  </cols>
  <sheetData>
    <row r="1" spans="1:10" ht="39">
      <c r="A1" s="4" t="s">
        <v>3</v>
      </c>
      <c r="B1" s="4" t="s">
        <v>7</v>
      </c>
      <c r="C1" s="4" t="s">
        <v>11</v>
      </c>
      <c r="D1" s="4" t="s">
        <v>4</v>
      </c>
      <c r="E1" s="4" t="s">
        <v>12</v>
      </c>
      <c r="F1" s="4" t="s">
        <v>5</v>
      </c>
      <c r="G1" s="4" t="s">
        <v>12</v>
      </c>
      <c r="H1" s="4" t="s">
        <v>6</v>
      </c>
      <c r="I1" s="4" t="s">
        <v>10</v>
      </c>
      <c r="J1" s="4" t="s">
        <v>48</v>
      </c>
    </row>
    <row r="2" spans="1:9" ht="12.75">
      <c r="A2" t="s">
        <v>15</v>
      </c>
      <c r="B2" s="2">
        <v>2006</v>
      </c>
      <c r="C2" s="2">
        <v>6</v>
      </c>
      <c r="D2" s="2">
        <v>655500</v>
      </c>
      <c r="H2" s="6"/>
      <c r="I2" s="11">
        <v>0.75</v>
      </c>
    </row>
    <row r="6" spans="1:2" ht="12.75">
      <c r="A6" s="1" t="s">
        <v>0</v>
      </c>
      <c r="B6" s="3"/>
    </row>
    <row r="7" ht="12.75">
      <c r="A7" t="s">
        <v>1</v>
      </c>
    </row>
    <row r="8" ht="12.75">
      <c r="A8" t="s">
        <v>14</v>
      </c>
    </row>
    <row r="9" ht="12.75">
      <c r="A9" t="s">
        <v>50</v>
      </c>
    </row>
    <row r="10" ht="12.75">
      <c r="A10" t="s">
        <v>61</v>
      </c>
    </row>
    <row r="11" ht="12.75">
      <c r="A11" t="s">
        <v>62</v>
      </c>
    </row>
    <row r="14" ht="12.75">
      <c r="A14" s="1" t="s">
        <v>89</v>
      </c>
    </row>
    <row r="15" ht="12.75">
      <c r="A15" s="27" t="s">
        <v>83</v>
      </c>
    </row>
    <row r="16" ht="12.75">
      <c r="A16" s="26" t="s">
        <v>68</v>
      </c>
    </row>
    <row r="17" ht="12.75">
      <c r="A17" s="26" t="s">
        <v>69</v>
      </c>
    </row>
    <row r="18" ht="12.75">
      <c r="A18" s="26" t="s">
        <v>70</v>
      </c>
    </row>
    <row r="19" ht="12.75">
      <c r="A19" s="26" t="s">
        <v>71</v>
      </c>
    </row>
    <row r="20" ht="12.75">
      <c r="A20" s="26" t="s">
        <v>72</v>
      </c>
    </row>
    <row r="21" ht="12.75">
      <c r="A21" s="26" t="s">
        <v>79</v>
      </c>
    </row>
    <row r="22" ht="12.75">
      <c r="A22" s="26" t="s">
        <v>80</v>
      </c>
    </row>
    <row r="23" ht="26.25">
      <c r="A23" s="26" t="s">
        <v>73</v>
      </c>
    </row>
    <row r="24" ht="12.75">
      <c r="A24" s="26" t="s">
        <v>74</v>
      </c>
    </row>
    <row r="25" ht="12.75">
      <c r="A25" s="26" t="s">
        <v>75</v>
      </c>
    </row>
    <row r="26" ht="12.75">
      <c r="A26" s="26" t="s">
        <v>81</v>
      </c>
    </row>
    <row r="27" ht="12.75">
      <c r="A27" s="26" t="s">
        <v>76</v>
      </c>
    </row>
    <row r="28" ht="12.75">
      <c r="A28" s="26" t="s">
        <v>77</v>
      </c>
    </row>
    <row r="29" ht="12.75">
      <c r="A29" s="27" t="s">
        <v>84</v>
      </c>
    </row>
    <row r="30" ht="12.75">
      <c r="A30" s="27" t="s">
        <v>85</v>
      </c>
    </row>
    <row r="31" ht="12.75">
      <c r="A31" s="27" t="s">
        <v>86</v>
      </c>
    </row>
    <row r="32" ht="12.75">
      <c r="A32" s="27" t="s">
        <v>87</v>
      </c>
    </row>
    <row r="33" ht="26.25">
      <c r="A33" s="27" t="s">
        <v>88</v>
      </c>
    </row>
  </sheetData>
  <sheetProtection/>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2.75"/>
  <cols>
    <col min="1" max="1" width="20.140625" style="0" customWidth="1"/>
    <col min="2" max="2" width="10.7109375" style="2" customWidth="1"/>
    <col min="3" max="3" width="13.00390625" style="2" customWidth="1"/>
    <col min="4" max="4" width="14.140625" style="2" bestFit="1" customWidth="1"/>
    <col min="5" max="5" width="9.57421875" style="2" customWidth="1"/>
    <col min="6" max="6" width="11.421875" style="2" bestFit="1" customWidth="1"/>
    <col min="7" max="7" width="9.8515625" style="2" customWidth="1"/>
    <col min="8" max="8" width="8.8515625" style="2" bestFit="1" customWidth="1"/>
    <col min="9" max="11" width="9.140625" style="2" customWidth="1"/>
  </cols>
  <sheetData>
    <row r="1" spans="1:11" ht="39">
      <c r="A1" s="4" t="s">
        <v>3</v>
      </c>
      <c r="B1" s="4" t="s">
        <v>7</v>
      </c>
      <c r="C1" s="4" t="s">
        <v>11</v>
      </c>
      <c r="D1" s="4" t="s">
        <v>4</v>
      </c>
      <c r="E1" s="4" t="s">
        <v>12</v>
      </c>
      <c r="F1" s="4" t="s">
        <v>5</v>
      </c>
      <c r="G1" s="4" t="s">
        <v>12</v>
      </c>
      <c r="H1" s="4" t="s">
        <v>6</v>
      </c>
      <c r="I1" s="4" t="s">
        <v>10</v>
      </c>
      <c r="J1" s="4" t="s">
        <v>48</v>
      </c>
      <c r="K1" s="4" t="s">
        <v>47</v>
      </c>
    </row>
    <row r="2" spans="1:11" ht="12.75">
      <c r="A2" s="12"/>
      <c r="B2" s="2">
        <v>2006</v>
      </c>
      <c r="C2" s="12"/>
      <c r="D2" s="19">
        <f>D3*1.06</f>
        <v>62217.10280000001</v>
      </c>
      <c r="E2" s="12"/>
      <c r="F2" s="12"/>
      <c r="G2" s="12"/>
      <c r="H2" s="12"/>
      <c r="I2" s="12"/>
      <c r="J2" s="12"/>
      <c r="K2" s="12"/>
    </row>
    <row r="3" spans="1:11" ht="12.75">
      <c r="A3" s="4"/>
      <c r="B3" s="2">
        <v>2005</v>
      </c>
      <c r="C3" s="12"/>
      <c r="D3" s="19">
        <f>D4*1.06</f>
        <v>58695.380000000005</v>
      </c>
      <c r="E3" s="12"/>
      <c r="F3" s="12"/>
      <c r="G3" s="12"/>
      <c r="H3" s="12"/>
      <c r="I3" s="12"/>
      <c r="J3" s="12"/>
      <c r="K3" s="12"/>
    </row>
    <row r="4" spans="1:11" ht="12.75">
      <c r="A4" t="s">
        <v>52</v>
      </c>
      <c r="B4" s="2">
        <v>2004</v>
      </c>
      <c r="C4" s="5">
        <v>23.5</v>
      </c>
      <c r="D4" s="2">
        <v>55373</v>
      </c>
      <c r="E4" s="13">
        <f>(D4-D5)/D5</f>
        <v>-0.027417711736396528</v>
      </c>
      <c r="G4" s="13"/>
      <c r="H4" s="6"/>
      <c r="I4" s="13">
        <v>0.9</v>
      </c>
      <c r="J4" s="13">
        <v>0.15</v>
      </c>
      <c r="K4" s="2">
        <v>15</v>
      </c>
    </row>
    <row r="5" spans="2:8" ht="12.75">
      <c r="B5" s="2">
        <v>2003</v>
      </c>
      <c r="D5" s="2">
        <v>56934</v>
      </c>
      <c r="E5" s="13">
        <f>(D5-D6)/D6</f>
        <v>0.07295102048508377</v>
      </c>
      <c r="H5" s="6"/>
    </row>
    <row r="6" spans="2:11" ht="12.75">
      <c r="B6" s="2">
        <v>2002</v>
      </c>
      <c r="D6" s="2">
        <v>53063</v>
      </c>
      <c r="E6" s="13">
        <f>(D6-D7)/D7</f>
        <v>0.14790377709514127</v>
      </c>
      <c r="I6" s="2" t="s">
        <v>13</v>
      </c>
      <c r="J6" s="2" t="s">
        <v>13</v>
      </c>
      <c r="K6" s="2" t="s">
        <v>13</v>
      </c>
    </row>
    <row r="7" spans="2:5" ht="12.75">
      <c r="B7" s="2">
        <v>2001</v>
      </c>
      <c r="D7" s="2">
        <v>46226</v>
      </c>
      <c r="E7" s="13">
        <f>(D7-D8)/D8</f>
        <v>-0.0685875478541205</v>
      </c>
    </row>
    <row r="8" spans="2:5" ht="12.75">
      <c r="B8" s="2">
        <v>2000</v>
      </c>
      <c r="D8" s="2">
        <v>49630</v>
      </c>
      <c r="E8" s="13">
        <f>(D8-D9)/D9</f>
        <v>0.021088365394506738</v>
      </c>
    </row>
    <row r="9" spans="2:5" ht="12.75">
      <c r="B9" s="2">
        <v>1999</v>
      </c>
      <c r="D9" s="2">
        <v>48605</v>
      </c>
      <c r="E9" s="13"/>
    </row>
    <row r="14" spans="1:2" ht="12.75">
      <c r="A14" s="1" t="s">
        <v>0</v>
      </c>
      <c r="B14" s="3"/>
    </row>
    <row r="15" ht="12.75">
      <c r="A15" t="s">
        <v>1</v>
      </c>
    </row>
    <row r="16" ht="12.75">
      <c r="A16" t="s">
        <v>14</v>
      </c>
    </row>
    <row r="17" ht="12.75">
      <c r="A17" t="s">
        <v>53</v>
      </c>
    </row>
    <row r="18" ht="12.75">
      <c r="A18" t="s">
        <v>54</v>
      </c>
    </row>
    <row r="20" ht="12.75">
      <c r="A20" s="1" t="s">
        <v>63</v>
      </c>
    </row>
    <row r="21" spans="1:2" ht="12.75">
      <c r="A21" s="473" t="s">
        <v>93</v>
      </c>
      <c r="B21" s="473"/>
    </row>
    <row r="22" ht="12.75">
      <c r="A22" s="27" t="s">
        <v>90</v>
      </c>
    </row>
    <row r="23" ht="12.75">
      <c r="A23" s="27" t="s">
        <v>91</v>
      </c>
    </row>
    <row r="24" ht="12.75">
      <c r="A24" s="26" t="s">
        <v>75</v>
      </c>
    </row>
    <row r="25" ht="12.75">
      <c r="A25" s="27" t="s">
        <v>92</v>
      </c>
    </row>
  </sheetData>
  <sheetProtection/>
  <mergeCells count="1">
    <mergeCell ref="A21:B21"/>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103"/>
  <sheetViews>
    <sheetView zoomScalePageLayoutView="0" workbookViewId="0" topLeftCell="A76">
      <selection activeCell="A3" sqref="A3"/>
    </sheetView>
  </sheetViews>
  <sheetFormatPr defaultColWidth="9.140625" defaultRowHeight="12.75"/>
  <cols>
    <col min="2" max="2" width="26.28125" style="0" customWidth="1"/>
    <col min="3" max="3" width="26.421875" style="0" customWidth="1"/>
    <col min="4" max="4" width="18.421875" style="0" customWidth="1"/>
    <col min="5" max="5" width="18.140625" style="0" customWidth="1"/>
    <col min="6" max="6" width="16.421875" style="0" customWidth="1"/>
    <col min="7" max="7" width="20.140625" style="0" customWidth="1"/>
    <col min="8" max="8" width="17.140625" style="0" customWidth="1"/>
    <col min="9" max="9" width="16.421875" style="0" customWidth="1"/>
  </cols>
  <sheetData>
    <row r="1" spans="1:11" ht="15">
      <c r="A1" s="97" t="s">
        <v>664</v>
      </c>
      <c r="B1" s="309"/>
      <c r="C1" s="309"/>
      <c r="D1" s="309"/>
      <c r="E1" s="309"/>
      <c r="F1" s="309"/>
      <c r="G1" s="309"/>
      <c r="H1" s="309"/>
      <c r="I1" s="309"/>
      <c r="J1" s="309"/>
      <c r="K1" s="309"/>
    </row>
    <row r="3" ht="14.25" thickBot="1">
      <c r="B3" s="310" t="s">
        <v>665</v>
      </c>
    </row>
    <row r="4" spans="2:10" ht="12.75">
      <c r="B4" s="311" t="s">
        <v>666</v>
      </c>
      <c r="C4" s="479" t="s">
        <v>667</v>
      </c>
      <c r="D4" s="481" t="s">
        <v>668</v>
      </c>
      <c r="E4" s="482"/>
      <c r="F4" s="481" t="s">
        <v>669</v>
      </c>
      <c r="G4" s="482"/>
      <c r="H4" s="481" t="s">
        <v>670</v>
      </c>
      <c r="I4" s="482"/>
      <c r="J4" s="311"/>
    </row>
    <row r="5" spans="2:10" ht="12.75">
      <c r="B5" s="312"/>
      <c r="C5" s="480"/>
      <c r="D5" s="476"/>
      <c r="E5" s="476"/>
      <c r="F5" s="476"/>
      <c r="G5" s="476"/>
      <c r="H5" s="476"/>
      <c r="I5" s="476"/>
      <c r="J5" s="312"/>
    </row>
    <row r="6" spans="2:10" ht="12.75">
      <c r="B6" s="312"/>
      <c r="C6" s="312"/>
      <c r="D6" s="474" t="s">
        <v>671</v>
      </c>
      <c r="E6" s="476"/>
      <c r="F6" s="474" t="s">
        <v>672</v>
      </c>
      <c r="G6" s="474"/>
      <c r="H6" s="474" t="s">
        <v>673</v>
      </c>
      <c r="I6" s="476"/>
      <c r="J6" s="312"/>
    </row>
    <row r="7" spans="2:10" ht="12.75">
      <c r="B7" s="312"/>
      <c r="C7" s="312"/>
      <c r="D7" s="476"/>
      <c r="E7" s="476"/>
      <c r="F7" s="476"/>
      <c r="G7" s="474"/>
      <c r="H7" s="476"/>
      <c r="I7" s="476"/>
      <c r="J7" s="312"/>
    </row>
    <row r="8" spans="2:10" ht="12.75">
      <c r="B8" s="312"/>
      <c r="C8" s="312"/>
      <c r="D8" s="476"/>
      <c r="E8" s="476"/>
      <c r="F8" s="474"/>
      <c r="G8" s="474"/>
      <c r="H8" s="476"/>
      <c r="I8" s="476"/>
      <c r="J8" s="312"/>
    </row>
    <row r="9" spans="2:10" ht="12.75">
      <c r="B9" s="312"/>
      <c r="C9" s="312" t="s">
        <v>674</v>
      </c>
      <c r="D9" s="312" t="s">
        <v>675</v>
      </c>
      <c r="E9" s="312" t="s">
        <v>676</v>
      </c>
      <c r="F9" s="312" t="s">
        <v>677</v>
      </c>
      <c r="G9" s="312" t="s">
        <v>678</v>
      </c>
      <c r="H9" s="312" t="s">
        <v>679</v>
      </c>
      <c r="I9" s="312" t="s">
        <v>680</v>
      </c>
      <c r="J9" s="312"/>
    </row>
    <row r="10" spans="2:10" ht="12.75">
      <c r="B10" s="313"/>
      <c r="C10" s="313" t="s">
        <v>681</v>
      </c>
      <c r="D10" s="313" t="s">
        <v>682</v>
      </c>
      <c r="E10" s="313" t="s">
        <v>683</v>
      </c>
      <c r="F10" s="313" t="s">
        <v>682</v>
      </c>
      <c r="G10" s="313" t="s">
        <v>683</v>
      </c>
      <c r="H10" s="313" t="s">
        <v>682</v>
      </c>
      <c r="I10" s="313" t="s">
        <v>683</v>
      </c>
      <c r="J10" s="313"/>
    </row>
    <row r="11" spans="2:10" ht="12.75">
      <c r="B11" s="314"/>
      <c r="C11" s="314"/>
      <c r="D11" s="314"/>
      <c r="E11" s="314"/>
      <c r="F11" s="314"/>
      <c r="G11" s="314"/>
      <c r="H11" s="314"/>
      <c r="I11" s="314"/>
      <c r="J11" s="314"/>
    </row>
    <row r="12" spans="2:10" ht="12.75">
      <c r="B12" s="314" t="s">
        <v>684</v>
      </c>
      <c r="C12" s="314">
        <v>34.2</v>
      </c>
      <c r="D12" s="314">
        <v>69.4</v>
      </c>
      <c r="E12" s="314">
        <v>2.4</v>
      </c>
      <c r="F12" s="314">
        <v>7.8</v>
      </c>
      <c r="G12" s="314">
        <v>0.3</v>
      </c>
      <c r="H12" s="314">
        <v>77.2</v>
      </c>
      <c r="I12" s="314">
        <v>2.6</v>
      </c>
      <c r="J12" s="314"/>
    </row>
    <row r="13" spans="2:10" ht="12.75">
      <c r="B13" s="314" t="s">
        <v>685</v>
      </c>
      <c r="C13" s="314"/>
      <c r="D13" s="314"/>
      <c r="E13" s="314"/>
      <c r="F13" s="314"/>
      <c r="G13" s="314"/>
      <c r="H13" s="314"/>
      <c r="I13" s="314"/>
      <c r="J13" s="314"/>
    </row>
    <row r="14" spans="2:10" ht="12.75">
      <c r="B14" s="314" t="s">
        <v>686</v>
      </c>
      <c r="C14" s="314">
        <v>38.6</v>
      </c>
      <c r="D14" s="314">
        <v>69.8</v>
      </c>
      <c r="E14" s="314">
        <v>2.7</v>
      </c>
      <c r="F14" s="314">
        <v>7.8</v>
      </c>
      <c r="G14" s="314">
        <v>0.3</v>
      </c>
      <c r="H14" s="314">
        <v>77.6</v>
      </c>
      <c r="I14" s="314">
        <v>3</v>
      </c>
      <c r="J14" s="314"/>
    </row>
    <row r="15" spans="2:10" ht="12.75">
      <c r="B15" s="314" t="s">
        <v>687</v>
      </c>
      <c r="C15" s="314"/>
      <c r="D15" s="314"/>
      <c r="E15" s="314"/>
      <c r="F15" s="314"/>
      <c r="G15" s="314"/>
      <c r="H15" s="314"/>
      <c r="I15" s="314"/>
      <c r="J15" s="314"/>
    </row>
    <row r="16" spans="2:10" ht="12.75">
      <c r="B16" s="314" t="s">
        <v>688</v>
      </c>
      <c r="C16" s="314">
        <v>33.1</v>
      </c>
      <c r="D16" s="314">
        <v>66.7</v>
      </c>
      <c r="E16" s="314">
        <v>2.2</v>
      </c>
      <c r="F16" s="314">
        <v>7.8</v>
      </c>
      <c r="G16" s="314">
        <v>0.3</v>
      </c>
      <c r="H16" s="314">
        <v>74.5</v>
      </c>
      <c r="I16" s="314">
        <v>2.5</v>
      </c>
      <c r="J16" s="314"/>
    </row>
    <row r="17" spans="2:10" ht="12.75">
      <c r="B17" s="314" t="s">
        <v>689</v>
      </c>
      <c r="C17" s="314">
        <v>36.8</v>
      </c>
      <c r="D17" s="314">
        <v>70.7</v>
      </c>
      <c r="E17" s="314">
        <v>2.6</v>
      </c>
      <c r="F17" s="314">
        <v>7.8</v>
      </c>
      <c r="G17" s="314">
        <v>0.3</v>
      </c>
      <c r="H17" s="314">
        <v>78.5</v>
      </c>
      <c r="I17" s="314">
        <v>2.9</v>
      </c>
      <c r="J17" s="314"/>
    </row>
    <row r="18" spans="2:10" ht="12.75">
      <c r="B18" s="314" t="s">
        <v>690</v>
      </c>
      <c r="C18" s="314">
        <v>40.8</v>
      </c>
      <c r="D18" s="314">
        <v>74.3</v>
      </c>
      <c r="E18" s="314">
        <v>3</v>
      </c>
      <c r="F18" s="314">
        <v>7.8</v>
      </c>
      <c r="G18" s="314">
        <v>0.3</v>
      </c>
      <c r="H18" s="314">
        <v>82.1</v>
      </c>
      <c r="I18" s="314">
        <v>3.3</v>
      </c>
      <c r="J18" s="314"/>
    </row>
    <row r="19" spans="2:10" ht="12.75">
      <c r="B19" s="314" t="s">
        <v>691</v>
      </c>
      <c r="C19" s="314">
        <v>26.2</v>
      </c>
      <c r="D19" s="314">
        <v>61.5</v>
      </c>
      <c r="E19" s="314">
        <v>1.6</v>
      </c>
      <c r="F19" s="314">
        <v>7.8</v>
      </c>
      <c r="G19" s="314">
        <v>0.2</v>
      </c>
      <c r="H19" s="314">
        <v>69.3</v>
      </c>
      <c r="I19" s="314">
        <v>1.8</v>
      </c>
      <c r="J19" s="314"/>
    </row>
    <row r="20" spans="2:10" ht="12.75">
      <c r="B20" s="314" t="s">
        <v>692</v>
      </c>
      <c r="C20" s="314"/>
      <c r="D20" s="314"/>
      <c r="E20" s="314"/>
      <c r="F20" s="314"/>
      <c r="G20" s="314"/>
      <c r="H20" s="314"/>
      <c r="I20" s="314"/>
      <c r="J20" s="314"/>
    </row>
    <row r="21" spans="2:10" ht="12.75">
      <c r="B21" s="314" t="s">
        <v>693</v>
      </c>
      <c r="C21" s="314">
        <v>32.9</v>
      </c>
      <c r="D21" s="314">
        <v>62.4</v>
      </c>
      <c r="E21" s="314">
        <v>2.1</v>
      </c>
      <c r="F21" s="314">
        <v>6</v>
      </c>
      <c r="G21" s="314">
        <v>0.2</v>
      </c>
      <c r="H21" s="314">
        <v>68.5</v>
      </c>
      <c r="I21" s="314">
        <v>2.3</v>
      </c>
      <c r="J21" s="314"/>
    </row>
    <row r="22" spans="2:10" ht="12.75">
      <c r="B22" s="314" t="s">
        <v>694</v>
      </c>
      <c r="C22" s="314">
        <v>32.9</v>
      </c>
      <c r="D22" s="314">
        <v>62.4</v>
      </c>
      <c r="E22" s="314">
        <v>2.1</v>
      </c>
      <c r="F22" s="314">
        <v>7.3</v>
      </c>
      <c r="G22" s="314">
        <v>0.2</v>
      </c>
      <c r="H22" s="314">
        <v>69.7</v>
      </c>
      <c r="I22" s="314">
        <v>2.4</v>
      </c>
      <c r="J22" s="314"/>
    </row>
    <row r="23" spans="2:10" ht="12.75">
      <c r="B23" s="314" t="s">
        <v>695</v>
      </c>
      <c r="C23" s="314">
        <v>34.7</v>
      </c>
      <c r="D23" s="314">
        <v>0.8</v>
      </c>
      <c r="E23" s="314">
        <v>0</v>
      </c>
      <c r="F23" s="314">
        <v>59</v>
      </c>
      <c r="G23" s="314">
        <v>2.1</v>
      </c>
      <c r="H23" s="314">
        <v>59.8</v>
      </c>
      <c r="I23" s="314">
        <v>2.1</v>
      </c>
      <c r="J23" s="314"/>
    </row>
    <row r="24" spans="2:10" ht="12.75">
      <c r="B24" s="314" t="s">
        <v>696</v>
      </c>
      <c r="C24" s="314">
        <v>34.7</v>
      </c>
      <c r="D24" s="314">
        <v>0.8</v>
      </c>
      <c r="E24" s="314">
        <v>0</v>
      </c>
      <c r="F24" s="314">
        <v>54.3</v>
      </c>
      <c r="G24" s="314">
        <v>1.9</v>
      </c>
      <c r="H24" s="314">
        <v>55.1</v>
      </c>
      <c r="I24" s="314">
        <v>1.9</v>
      </c>
      <c r="J24" s="314"/>
    </row>
    <row r="25" spans="2:10" ht="12.75">
      <c r="B25" s="314" t="s">
        <v>697</v>
      </c>
      <c r="C25" s="314">
        <v>34.7</v>
      </c>
      <c r="D25" s="314">
        <v>0.8</v>
      </c>
      <c r="E25" s="314">
        <v>0</v>
      </c>
      <c r="F25" s="314">
        <v>7.4</v>
      </c>
      <c r="G25" s="314">
        <v>0.3</v>
      </c>
      <c r="H25" s="314">
        <v>8.1</v>
      </c>
      <c r="I25" s="314">
        <v>0.3</v>
      </c>
      <c r="J25" s="314"/>
    </row>
    <row r="26" spans="2:10" ht="12.75">
      <c r="B26" s="314" t="s">
        <v>698</v>
      </c>
      <c r="C26" s="314">
        <v>37.8</v>
      </c>
      <c r="D26" s="314">
        <v>54.7</v>
      </c>
      <c r="E26" s="314">
        <v>2.1</v>
      </c>
      <c r="F26" s="314">
        <v>16.1</v>
      </c>
      <c r="G26" s="314">
        <v>0.6</v>
      </c>
      <c r="H26" s="314">
        <v>70.9</v>
      </c>
      <c r="I26" s="314">
        <v>2.7</v>
      </c>
      <c r="J26" s="314"/>
    </row>
    <row r="27" spans="2:10" ht="12.75">
      <c r="B27" s="314" t="s">
        <v>699</v>
      </c>
      <c r="C27" s="314">
        <v>37.8</v>
      </c>
      <c r="D27" s="314">
        <v>54.7</v>
      </c>
      <c r="E27" s="314">
        <v>2.1</v>
      </c>
      <c r="F27" s="314">
        <v>16.9</v>
      </c>
      <c r="G27" s="314">
        <v>0.6</v>
      </c>
      <c r="H27" s="314">
        <v>71.6</v>
      </c>
      <c r="I27" s="314">
        <v>2.7</v>
      </c>
      <c r="J27" s="314"/>
    </row>
    <row r="28" spans="2:10" ht="12.75">
      <c r="B28" s="314" t="s">
        <v>700</v>
      </c>
      <c r="C28" s="314">
        <v>37.8</v>
      </c>
      <c r="D28" s="314">
        <v>54.7</v>
      </c>
      <c r="E28" s="314">
        <v>2.1</v>
      </c>
      <c r="F28" s="314">
        <v>7.1</v>
      </c>
      <c r="G28" s="314">
        <v>0.3</v>
      </c>
      <c r="H28" s="314">
        <v>61.8</v>
      </c>
      <c r="I28" s="314">
        <v>2.3</v>
      </c>
      <c r="J28" s="314"/>
    </row>
    <row r="29" spans="2:10" ht="12.75">
      <c r="B29" s="314"/>
      <c r="C29" s="149" t="s">
        <v>701</v>
      </c>
      <c r="D29" s="314" t="s">
        <v>682</v>
      </c>
      <c r="E29" s="314" t="s">
        <v>702</v>
      </c>
      <c r="F29" s="314" t="s">
        <v>682</v>
      </c>
      <c r="G29" s="314" t="s">
        <v>702</v>
      </c>
      <c r="H29" s="314" t="s">
        <v>682</v>
      </c>
      <c r="I29" s="314" t="s">
        <v>702</v>
      </c>
      <c r="J29" s="314"/>
    </row>
    <row r="30" spans="2:10" ht="12.75">
      <c r="B30" s="314" t="s">
        <v>703</v>
      </c>
      <c r="C30" s="314">
        <v>0.0395</v>
      </c>
      <c r="D30" s="314">
        <v>57.2</v>
      </c>
      <c r="E30" s="314">
        <v>0.0023</v>
      </c>
      <c r="F30" s="314">
        <v>11.4</v>
      </c>
      <c r="G30" s="314">
        <v>0.00045</v>
      </c>
      <c r="H30" s="314">
        <v>68.6</v>
      </c>
      <c r="I30" s="314">
        <v>0.0027</v>
      </c>
      <c r="J30" s="314"/>
    </row>
    <row r="31" spans="2:10" ht="12.75">
      <c r="B31" s="314" t="s">
        <v>704</v>
      </c>
      <c r="C31" s="314">
        <v>0.0395</v>
      </c>
      <c r="D31" s="314">
        <v>53.8</v>
      </c>
      <c r="E31" s="314">
        <v>0.0021</v>
      </c>
      <c r="F31" s="314">
        <v>11.4</v>
      </c>
      <c r="G31" s="314">
        <v>0.00045</v>
      </c>
      <c r="H31" s="314">
        <v>65.2</v>
      </c>
      <c r="I31" s="314">
        <v>0.0026</v>
      </c>
      <c r="J31" s="314"/>
    </row>
    <row r="32" spans="2:10" ht="13.5" thickBot="1">
      <c r="B32" s="315"/>
      <c r="C32" s="315"/>
      <c r="D32" s="315"/>
      <c r="E32" s="315"/>
      <c r="F32" s="315"/>
      <c r="G32" s="315"/>
      <c r="H32" s="315"/>
      <c r="I32" s="315"/>
      <c r="J32" s="315"/>
    </row>
    <row r="34" ht="12.75">
      <c r="B34" t="s">
        <v>705</v>
      </c>
    </row>
    <row r="35" ht="12.75">
      <c r="B35" t="s">
        <v>706</v>
      </c>
    </row>
    <row r="36" ht="12.75">
      <c r="B36" t="s">
        <v>707</v>
      </c>
    </row>
    <row r="37" ht="12.75">
      <c r="B37" t="s">
        <v>708</v>
      </c>
    </row>
    <row r="38" ht="12.75">
      <c r="B38" t="s">
        <v>709</v>
      </c>
    </row>
    <row r="39" ht="12.75">
      <c r="B39" t="s">
        <v>710</v>
      </c>
    </row>
    <row r="40" ht="12.75">
      <c r="B40" t="s">
        <v>711</v>
      </c>
    </row>
    <row r="41" ht="12.75">
      <c r="B41" t="s">
        <v>712</v>
      </c>
    </row>
    <row r="42" ht="12.75">
      <c r="B42" t="s">
        <v>713</v>
      </c>
    </row>
    <row r="43" ht="12.75">
      <c r="B43" t="s">
        <v>714</v>
      </c>
    </row>
    <row r="45" ht="14.25" thickBot="1">
      <c r="B45" s="310" t="s">
        <v>715</v>
      </c>
    </row>
    <row r="46" spans="2:8" ht="12.75">
      <c r="B46" s="311" t="s">
        <v>196</v>
      </c>
      <c r="C46" s="477" t="s">
        <v>716</v>
      </c>
      <c r="D46" s="477"/>
      <c r="E46" s="477" t="s">
        <v>717</v>
      </c>
      <c r="F46" s="477"/>
      <c r="G46" s="477" t="s">
        <v>718</v>
      </c>
      <c r="H46" s="478"/>
    </row>
    <row r="47" spans="2:8" ht="12.75">
      <c r="B47" s="312"/>
      <c r="C47" s="474" t="s">
        <v>719</v>
      </c>
      <c r="D47" s="475"/>
      <c r="E47" s="474" t="s">
        <v>720</v>
      </c>
      <c r="F47" s="475"/>
      <c r="G47" s="474" t="s">
        <v>721</v>
      </c>
      <c r="H47" s="475"/>
    </row>
    <row r="48" spans="2:8" ht="12.75">
      <c r="B48" s="312"/>
      <c r="C48" s="475"/>
      <c r="D48" s="475"/>
      <c r="E48" s="475"/>
      <c r="F48" s="475"/>
      <c r="G48" s="475"/>
      <c r="H48" s="475"/>
    </row>
    <row r="49" spans="2:8" ht="12.75">
      <c r="B49" s="312"/>
      <c r="C49" s="312" t="s">
        <v>674</v>
      </c>
      <c r="D49" s="312" t="s">
        <v>675</v>
      </c>
      <c r="E49" s="312" t="s">
        <v>676</v>
      </c>
      <c r="F49" s="312" t="s">
        <v>677</v>
      </c>
      <c r="G49" s="312" t="s">
        <v>678</v>
      </c>
      <c r="H49" s="312" t="s">
        <v>679</v>
      </c>
    </row>
    <row r="50" spans="2:8" ht="12.75">
      <c r="B50" s="312"/>
      <c r="C50" s="312" t="s">
        <v>722</v>
      </c>
      <c r="D50" s="312" t="s">
        <v>722</v>
      </c>
      <c r="E50" s="312" t="s">
        <v>722</v>
      </c>
      <c r="F50" s="312" t="s">
        <v>722</v>
      </c>
      <c r="G50" s="312" t="s">
        <v>722</v>
      </c>
      <c r="H50" s="312" t="s">
        <v>722</v>
      </c>
    </row>
    <row r="51" spans="2:8" ht="12.75">
      <c r="B51" s="313"/>
      <c r="C51" s="313" t="s">
        <v>723</v>
      </c>
      <c r="D51" s="313" t="s">
        <v>724</v>
      </c>
      <c r="E51" s="313" t="s">
        <v>723</v>
      </c>
      <c r="F51" s="313" t="s">
        <v>724</v>
      </c>
      <c r="G51" s="313" t="s">
        <v>723</v>
      </c>
      <c r="H51" s="313" t="s">
        <v>724</v>
      </c>
    </row>
    <row r="52" spans="2:8" ht="12.75">
      <c r="B52" s="314" t="s">
        <v>457</v>
      </c>
      <c r="C52" s="314">
        <v>0.893</v>
      </c>
      <c r="D52" s="314">
        <v>248</v>
      </c>
      <c r="E52" s="314">
        <v>0.176</v>
      </c>
      <c r="F52" s="314">
        <v>49</v>
      </c>
      <c r="G52" s="314">
        <v>1.068</v>
      </c>
      <c r="H52" s="314">
        <v>297</v>
      </c>
    </row>
    <row r="53" spans="2:8" ht="12.75">
      <c r="B53" s="314" t="s">
        <v>164</v>
      </c>
      <c r="C53" s="314">
        <v>1.239</v>
      </c>
      <c r="D53" s="314">
        <v>344</v>
      </c>
      <c r="E53" s="314">
        <v>0.086</v>
      </c>
      <c r="F53" s="314">
        <v>24</v>
      </c>
      <c r="G53" s="314">
        <v>1.325</v>
      </c>
      <c r="H53" s="314">
        <v>368</v>
      </c>
    </row>
    <row r="54" spans="2:8" ht="12.75">
      <c r="B54" s="314" t="s">
        <v>162</v>
      </c>
      <c r="C54" s="314">
        <v>0.903</v>
      </c>
      <c r="D54" s="314">
        <v>251</v>
      </c>
      <c r="E54" s="314">
        <v>0.143</v>
      </c>
      <c r="F54" s="314">
        <v>40</v>
      </c>
      <c r="G54" s="314">
        <v>1.046</v>
      </c>
      <c r="H54" s="314">
        <v>291</v>
      </c>
    </row>
    <row r="55" spans="2:8" ht="12.75">
      <c r="B55" s="314" t="s">
        <v>166</v>
      </c>
      <c r="C55" s="314">
        <v>0.865</v>
      </c>
      <c r="D55" s="314">
        <v>240</v>
      </c>
      <c r="E55" s="314">
        <v>0.177</v>
      </c>
      <c r="F55" s="314">
        <v>49</v>
      </c>
      <c r="G55" s="314">
        <v>1.042</v>
      </c>
      <c r="H55" s="314">
        <v>290</v>
      </c>
    </row>
    <row r="56" spans="2:8" ht="12.75">
      <c r="B56" s="314" t="s">
        <v>725</v>
      </c>
      <c r="C56" s="314">
        <v>0.84</v>
      </c>
      <c r="D56" s="314">
        <v>233</v>
      </c>
      <c r="E56" s="314">
        <v>0.096</v>
      </c>
      <c r="F56" s="314">
        <v>27</v>
      </c>
      <c r="G56" s="314">
        <v>0.936</v>
      </c>
      <c r="H56" s="314">
        <v>260</v>
      </c>
    </row>
    <row r="57" spans="2:8" ht="12.75">
      <c r="B57" s="314" t="s">
        <v>165</v>
      </c>
      <c r="C57" s="314">
        <v>0.05</v>
      </c>
      <c r="D57" s="314">
        <v>14</v>
      </c>
      <c r="E57" s="314">
        <v>0.01</v>
      </c>
      <c r="F57" s="314">
        <v>3</v>
      </c>
      <c r="G57" s="314">
        <v>0.06</v>
      </c>
      <c r="H57" s="314">
        <v>17</v>
      </c>
    </row>
    <row r="58" spans="2:8" ht="12.75">
      <c r="B58" s="314" t="s">
        <v>167</v>
      </c>
      <c r="C58" s="314">
        <v>0.682</v>
      </c>
      <c r="D58" s="314">
        <v>189</v>
      </c>
      <c r="E58" s="314">
        <v>0.034</v>
      </c>
      <c r="F58" s="314">
        <v>9</v>
      </c>
      <c r="G58" s="314">
        <v>0.716</v>
      </c>
      <c r="H58" s="314">
        <v>199</v>
      </c>
    </row>
    <row r="60" ht="12.75">
      <c r="B60" t="s">
        <v>726</v>
      </c>
    </row>
    <row r="61" ht="12.75">
      <c r="B61" t="s">
        <v>727</v>
      </c>
    </row>
    <row r="62" ht="12.75">
      <c r="B62" t="s">
        <v>728</v>
      </c>
    </row>
    <row r="63" ht="12.75">
      <c r="B63" t="s">
        <v>729</v>
      </c>
    </row>
    <row r="66" ht="13.5">
      <c r="B66" s="310" t="s">
        <v>730</v>
      </c>
    </row>
    <row r="67" spans="2:4" ht="12.75">
      <c r="B67" s="1" t="s">
        <v>731</v>
      </c>
      <c r="C67" s="1" t="s">
        <v>732</v>
      </c>
      <c r="D67" s="1" t="s">
        <v>733</v>
      </c>
    </row>
    <row r="68" spans="2:4" ht="12.75">
      <c r="B68" s="1"/>
      <c r="C68" s="1"/>
      <c r="D68" s="1" t="s">
        <v>734</v>
      </c>
    </row>
    <row r="69" spans="2:4" ht="13.5">
      <c r="B69" s="316" t="s">
        <v>735</v>
      </c>
      <c r="C69" t="s">
        <v>736</v>
      </c>
      <c r="D69">
        <v>1</v>
      </c>
    </row>
    <row r="70" spans="2:4" ht="13.5">
      <c r="B70" s="316" t="s">
        <v>737</v>
      </c>
      <c r="C70" t="s">
        <v>738</v>
      </c>
      <c r="D70">
        <v>21</v>
      </c>
    </row>
    <row r="71" spans="2:4" ht="13.5">
      <c r="B71" s="316" t="s">
        <v>739</v>
      </c>
      <c r="C71" t="s">
        <v>740</v>
      </c>
      <c r="D71">
        <v>310</v>
      </c>
    </row>
    <row r="72" ht="13.5">
      <c r="B72" s="316" t="s">
        <v>741</v>
      </c>
    </row>
    <row r="73" spans="2:4" ht="13.5">
      <c r="B73" s="316" t="s">
        <v>742</v>
      </c>
      <c r="C73" t="s">
        <v>743</v>
      </c>
      <c r="D73" s="32">
        <v>11700</v>
      </c>
    </row>
    <row r="74" spans="2:4" ht="13.5">
      <c r="B74" s="316" t="s">
        <v>744</v>
      </c>
      <c r="C74" t="s">
        <v>745</v>
      </c>
      <c r="D74">
        <v>650</v>
      </c>
    </row>
    <row r="75" spans="2:4" ht="13.5">
      <c r="B75" s="316" t="s">
        <v>746</v>
      </c>
      <c r="C75" t="s">
        <v>747</v>
      </c>
      <c r="D75">
        <v>150</v>
      </c>
    </row>
    <row r="76" spans="2:4" ht="13.5">
      <c r="B76" s="316" t="s">
        <v>748</v>
      </c>
      <c r="C76" t="s">
        <v>749</v>
      </c>
      <c r="D76" s="32">
        <v>1300</v>
      </c>
    </row>
    <row r="77" spans="2:4" ht="13.5">
      <c r="B77" s="316" t="s">
        <v>750</v>
      </c>
      <c r="C77" t="s">
        <v>751</v>
      </c>
      <c r="D77" s="32">
        <v>2800</v>
      </c>
    </row>
    <row r="78" spans="2:4" ht="13.5">
      <c r="B78" s="316" t="s">
        <v>752</v>
      </c>
      <c r="C78" t="s">
        <v>753</v>
      </c>
      <c r="D78" s="32">
        <v>1000</v>
      </c>
    </row>
    <row r="79" spans="2:4" ht="13.5">
      <c r="B79" s="317" t="s">
        <v>754</v>
      </c>
      <c r="C79" s="318" t="s">
        <v>755</v>
      </c>
      <c r="D79" s="319">
        <v>1300</v>
      </c>
    </row>
    <row r="80" spans="2:4" ht="13.5">
      <c r="B80" s="316" t="s">
        <v>756</v>
      </c>
      <c r="C80" t="s">
        <v>757</v>
      </c>
      <c r="D80">
        <v>300</v>
      </c>
    </row>
    <row r="81" spans="2:4" ht="13.5">
      <c r="B81" s="316" t="s">
        <v>758</v>
      </c>
      <c r="C81" t="s">
        <v>759</v>
      </c>
      <c r="D81" s="32">
        <v>3800</v>
      </c>
    </row>
    <row r="82" spans="2:4" ht="13.5">
      <c r="B82" s="316" t="s">
        <v>760</v>
      </c>
      <c r="C82" t="s">
        <v>761</v>
      </c>
      <c r="D82">
        <v>140</v>
      </c>
    </row>
    <row r="83" spans="2:4" ht="13.5">
      <c r="B83" s="316" t="s">
        <v>762</v>
      </c>
      <c r="C83" t="s">
        <v>763</v>
      </c>
      <c r="D83" s="32">
        <v>2900</v>
      </c>
    </row>
    <row r="84" spans="2:4" ht="13.5">
      <c r="B84" s="316" t="s">
        <v>764</v>
      </c>
      <c r="C84" t="s">
        <v>765</v>
      </c>
      <c r="D84" s="32">
        <v>6300</v>
      </c>
    </row>
    <row r="85" spans="2:4" ht="13.5">
      <c r="B85" s="316" t="s">
        <v>766</v>
      </c>
      <c r="C85" t="s">
        <v>767</v>
      </c>
      <c r="D85">
        <v>560</v>
      </c>
    </row>
    <row r="86" ht="13.5">
      <c r="B86" s="316" t="s">
        <v>768</v>
      </c>
    </row>
    <row r="87" spans="2:4" ht="13.5">
      <c r="B87" s="316" t="s">
        <v>769</v>
      </c>
      <c r="C87" t="s">
        <v>770</v>
      </c>
      <c r="D87">
        <v>500</v>
      </c>
    </row>
    <row r="88" spans="2:4" ht="13.5">
      <c r="B88" s="316" t="s">
        <v>771</v>
      </c>
      <c r="C88" t="s">
        <v>772</v>
      </c>
      <c r="D88">
        <v>100</v>
      </c>
    </row>
    <row r="89" ht="13.5">
      <c r="B89" s="316" t="s">
        <v>773</v>
      </c>
    </row>
    <row r="90" spans="2:4" ht="13.5">
      <c r="B90" s="316" t="s">
        <v>774</v>
      </c>
      <c r="C90" t="s">
        <v>775</v>
      </c>
      <c r="D90" s="32">
        <v>6500</v>
      </c>
    </row>
    <row r="91" spans="2:4" ht="13.5">
      <c r="B91" s="316" t="s">
        <v>776</v>
      </c>
      <c r="C91" t="s">
        <v>777</v>
      </c>
      <c r="D91" s="32">
        <v>9200</v>
      </c>
    </row>
    <row r="92" spans="2:4" ht="13.5">
      <c r="B92" s="316" t="s">
        <v>778</v>
      </c>
      <c r="C92" t="s">
        <v>779</v>
      </c>
      <c r="D92" s="32">
        <v>7000</v>
      </c>
    </row>
    <row r="93" spans="2:4" ht="13.5">
      <c r="B93" s="316" t="s">
        <v>780</v>
      </c>
      <c r="C93" t="s">
        <v>781</v>
      </c>
      <c r="D93" s="32">
        <v>7000</v>
      </c>
    </row>
    <row r="94" spans="2:4" ht="13.5">
      <c r="B94" s="316" t="s">
        <v>782</v>
      </c>
      <c r="C94" t="s">
        <v>783</v>
      </c>
      <c r="D94" s="32">
        <v>8700</v>
      </c>
    </row>
    <row r="95" spans="2:4" ht="13.5">
      <c r="B95" s="316" t="s">
        <v>784</v>
      </c>
      <c r="C95" t="s">
        <v>785</v>
      </c>
      <c r="D95" s="32">
        <v>7500</v>
      </c>
    </row>
    <row r="96" spans="2:4" ht="13.5">
      <c r="B96" s="316" t="s">
        <v>786</v>
      </c>
      <c r="C96" t="s">
        <v>787</v>
      </c>
      <c r="D96" s="32">
        <v>7400</v>
      </c>
    </row>
    <row r="97" spans="2:4" ht="13.5">
      <c r="B97" s="316" t="s">
        <v>788</v>
      </c>
      <c r="C97" t="s">
        <v>789</v>
      </c>
      <c r="D97" s="32">
        <v>23900</v>
      </c>
    </row>
    <row r="98" ht="13.5">
      <c r="B98" s="316" t="s">
        <v>790</v>
      </c>
    </row>
    <row r="99" spans="2:4" ht="13.5">
      <c r="B99" s="316" t="s">
        <v>791</v>
      </c>
      <c r="C99" t="s">
        <v>792</v>
      </c>
      <c r="D99" t="s">
        <v>793</v>
      </c>
    </row>
    <row r="100" spans="2:4" ht="13.5">
      <c r="B100" s="316" t="s">
        <v>794</v>
      </c>
      <c r="C100" t="s">
        <v>795</v>
      </c>
      <c r="D100" t="s">
        <v>793</v>
      </c>
    </row>
    <row r="101" spans="2:4" ht="13.5">
      <c r="B101" s="316" t="s">
        <v>796</v>
      </c>
      <c r="C101" t="s">
        <v>797</v>
      </c>
      <c r="D101" t="s">
        <v>793</v>
      </c>
    </row>
    <row r="102" ht="13.5">
      <c r="B102" s="316" t="s">
        <v>798</v>
      </c>
    </row>
    <row r="103" ht="13.5">
      <c r="B103" s="316"/>
    </row>
  </sheetData>
  <sheetProtection/>
  <mergeCells count="13">
    <mergeCell ref="C4:C5"/>
    <mergeCell ref="D4:E5"/>
    <mergeCell ref="F4:G5"/>
    <mergeCell ref="H4:I5"/>
    <mergeCell ref="C47:D48"/>
    <mergeCell ref="E47:F48"/>
    <mergeCell ref="G47:H48"/>
    <mergeCell ref="D6:E8"/>
    <mergeCell ref="F6:G8"/>
    <mergeCell ref="H6:I8"/>
    <mergeCell ref="C46:D46"/>
    <mergeCell ref="E46:F46"/>
    <mergeCell ref="G46:H46"/>
  </mergeCells>
  <printOptions/>
  <pageMargins left="0.75" right="0.75" top="1" bottom="1" header="0.5" footer="0.5"/>
  <pageSetup horizontalDpi="1200" verticalDpi="1200" orientation="landscape" paperSize="9" r:id="rId1"/>
</worksheet>
</file>

<file path=xl/worksheets/sheet26.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5">
      <c r="A1" s="97" t="s">
        <v>641</v>
      </c>
    </row>
    <row r="2" ht="12.75">
      <c r="A2" t="s">
        <v>621</v>
      </c>
    </row>
    <row r="3" ht="12.75">
      <c r="A3" t="s">
        <v>635</v>
      </c>
    </row>
    <row r="4" ht="12.75">
      <c r="A4" t="s">
        <v>636</v>
      </c>
    </row>
    <row r="5" ht="12.75">
      <c r="A5" t="s">
        <v>637</v>
      </c>
    </row>
    <row r="6" ht="12.75">
      <c r="A6" t="s">
        <v>638</v>
      </c>
    </row>
    <row r="7" ht="12.75">
      <c r="A7" t="s">
        <v>639</v>
      </c>
    </row>
    <row r="8" ht="12.75">
      <c r="A8" t="s">
        <v>640</v>
      </c>
    </row>
    <row r="9" ht="12.75">
      <c r="A9" t="s">
        <v>647</v>
      </c>
    </row>
    <row r="10" ht="12.75">
      <c r="A10" t="s">
        <v>663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39">
      <selection activeCell="H37" sqref="H37"/>
    </sheetView>
  </sheetViews>
  <sheetFormatPr defaultColWidth="9.140625" defaultRowHeight="12.75" outlineLevelRow="1"/>
  <cols>
    <col min="1" max="1" width="61.421875" style="0" customWidth="1"/>
    <col min="2" max="2" width="12.7109375" style="0" bestFit="1" customWidth="1"/>
    <col min="3" max="3" width="13.28125" style="0" customWidth="1"/>
    <col min="4" max="4" width="10.57421875" style="0" customWidth="1"/>
    <col min="5" max="7" width="9.140625" style="0" hidden="1" customWidth="1"/>
  </cols>
  <sheetData>
    <row r="1" spans="1:3" ht="90">
      <c r="A1" s="308" t="s">
        <v>648</v>
      </c>
      <c r="B1" s="4" t="s">
        <v>487</v>
      </c>
      <c r="C1" s="320" t="s">
        <v>799</v>
      </c>
    </row>
    <row r="2" spans="1:3" ht="12.75">
      <c r="A2" s="1" t="s">
        <v>836</v>
      </c>
      <c r="B2" s="113">
        <f>SUM(B3:B6)</f>
        <v>5247.679414590232</v>
      </c>
      <c r="C2" s="71">
        <f>B2*'Greenhouse Emission Factors'!$C$52/1000</f>
        <v>4.686177717229078</v>
      </c>
    </row>
    <row r="3" spans="1:3" ht="12.75" hidden="1" outlineLevel="1">
      <c r="A3" s="48" t="s">
        <v>2</v>
      </c>
      <c r="B3" s="31">
        <f>'AC Energy Calc'!I43/1000000</f>
        <v>1244.2119714445075</v>
      </c>
      <c r="C3" s="71">
        <f>B3*'Greenhouse Emission Factors'!$C$52/1000</f>
        <v>1.1110812904999452</v>
      </c>
    </row>
    <row r="4" spans="1:3" ht="12.75" hidden="1" outlineLevel="1">
      <c r="A4" s="48" t="s">
        <v>303</v>
      </c>
      <c r="B4" s="31">
        <f>'AC Energy Calc'!I13/1000000</f>
        <v>3061.484795888595</v>
      </c>
      <c r="C4" s="71">
        <f>B4*'Greenhouse Emission Factors'!$C$52/1000</f>
        <v>2.733905922728515</v>
      </c>
    </row>
    <row r="5" spans="1:3" ht="12.75" hidden="1" outlineLevel="1">
      <c r="A5" s="48" t="s">
        <v>361</v>
      </c>
      <c r="B5" s="31">
        <f>'AC Energy Calc'!I27*(1-'AC Energy Calc'!C113)/1000000</f>
        <v>868.8345142857141</v>
      </c>
      <c r="C5" s="71">
        <f>B5*'Greenhouse Emission Factors'!$C$52/1000</f>
        <v>0.7758692212571427</v>
      </c>
    </row>
    <row r="6" spans="1:3" ht="12.75" hidden="1" outlineLevel="1">
      <c r="A6" s="48" t="s">
        <v>157</v>
      </c>
      <c r="B6" s="31">
        <f>'AC Energy Calc'!I33/1000000</f>
        <v>73.14813297141566</v>
      </c>
      <c r="C6" s="71">
        <f>B6*'Greenhouse Emission Factors'!$C$52/1000</f>
        <v>0.06532128274347418</v>
      </c>
    </row>
    <row r="7" spans="1:3" ht="12.75" collapsed="1">
      <c r="A7" s="1" t="s">
        <v>369</v>
      </c>
      <c r="B7" s="113">
        <f>SUM(B8:B14)</f>
        <v>17437.109933914682</v>
      </c>
      <c r="C7" s="71">
        <f>B7*'Greenhouse Emission Factors'!$C$52/1000</f>
        <v>15.571339170985812</v>
      </c>
    </row>
    <row r="8" spans="1:3" ht="12.75" hidden="1" outlineLevel="1">
      <c r="A8" s="48" t="s">
        <v>41</v>
      </c>
      <c r="B8" s="31">
        <f>'AC Energy Calc'!I64/1000000</f>
        <v>2567.1474905824225</v>
      </c>
      <c r="C8" s="71">
        <f>B8*'Greenhouse Emission Factors'!$C$52/1000</f>
        <v>2.2924627090901035</v>
      </c>
    </row>
    <row r="9" spans="1:3" ht="12.75" hidden="1" outlineLevel="1">
      <c r="A9" s="292" t="s">
        <v>94</v>
      </c>
      <c r="B9" s="31">
        <f>'AC Energy Calc'!I83/1000000</f>
        <v>4775.168682144737</v>
      </c>
      <c r="C9" s="71">
        <f>B9*'Greenhouse Emission Factors'!$C$52/1000</f>
        <v>4.264225633155251</v>
      </c>
    </row>
    <row r="10" spans="1:3" ht="12.75" hidden="1" outlineLevel="1">
      <c r="A10" s="48" t="s">
        <v>2</v>
      </c>
      <c r="B10" s="31">
        <f>'AC Energy Calc'!I50/1000000</f>
        <v>4966.159634171387</v>
      </c>
      <c r="C10" s="71">
        <f>B10*'Greenhouse Emission Factors'!$C$52/1000</f>
        <v>4.434780553315049</v>
      </c>
    </row>
    <row r="11" spans="1:3" ht="12.75" hidden="1" outlineLevel="1">
      <c r="A11" s="48" t="s">
        <v>303</v>
      </c>
      <c r="B11" s="31">
        <f>'AC Energy Calc'!I20/1000000</f>
        <v>3555.047166425476</v>
      </c>
      <c r="C11" s="71">
        <f>B11*'Greenhouse Emission Factors'!$C$52/1000</f>
        <v>3.17465711961795</v>
      </c>
    </row>
    <row r="12" spans="1:3" ht="12.75" hidden="1" outlineLevel="1">
      <c r="A12" s="48" t="s">
        <v>361</v>
      </c>
      <c r="B12" s="31">
        <f>'AC Energy Calc'!I27*'AC Energy Calc'!C113/1000000</f>
        <v>217.20862857142853</v>
      </c>
      <c r="C12" s="71">
        <f>B12*'Greenhouse Emission Factors'!$C$52/1000</f>
        <v>0.1939673053142857</v>
      </c>
    </row>
    <row r="13" spans="1:3" ht="12.75" hidden="1" outlineLevel="1">
      <c r="A13" s="48" t="s">
        <v>158</v>
      </c>
      <c r="B13" s="31">
        <f>'AC Energy Calc'!I70/1000000</f>
        <v>1108.6875</v>
      </c>
      <c r="C13" s="71">
        <f>B13*'Greenhouse Emission Factors'!$C$52/1000</f>
        <v>0.9900579374999999</v>
      </c>
    </row>
    <row r="14" spans="1:3" ht="12.75" hidden="1" outlineLevel="1">
      <c r="A14" s="48" t="s">
        <v>64</v>
      </c>
      <c r="B14" s="31">
        <f>'AC Energy Calc'!I57/1000000</f>
        <v>247.69083201923078</v>
      </c>
      <c r="C14" s="71">
        <f>B14*'Greenhouse Emission Factors'!$C$52/1000</f>
        <v>0.22118791299317309</v>
      </c>
    </row>
    <row r="15" spans="1:3" ht="12.75" collapsed="1">
      <c r="A15" s="1" t="s">
        <v>370</v>
      </c>
      <c r="B15" s="113">
        <f>SUM(B16:B23)</f>
        <v>10773.362280324862</v>
      </c>
      <c r="C15" s="71">
        <f>B15*'Greenhouse Emission Factors'!$C$52/1000</f>
        <v>9.620612516330102</v>
      </c>
    </row>
    <row r="16" spans="1:3" ht="12.75" hidden="1" outlineLevel="1">
      <c r="A16" s="292" t="s">
        <v>94</v>
      </c>
      <c r="B16" s="31">
        <f>Chillers!B86/1000000</f>
        <v>1688.8480763248617</v>
      </c>
      <c r="C16" s="71">
        <f>B16*'Greenhouse Emission Factors'!$C$52/1000</f>
        <v>1.5081413321581014</v>
      </c>
    </row>
    <row r="17" spans="1:3" ht="12.75" hidden="1" outlineLevel="1">
      <c r="A17" s="292" t="s">
        <v>599</v>
      </c>
      <c r="B17" s="45">
        <v>356</v>
      </c>
      <c r="C17" s="71">
        <f>B17*'Greenhouse Emission Factors'!$C$52/1000</f>
        <v>0.317908</v>
      </c>
    </row>
    <row r="18" spans="1:3" ht="12.75" hidden="1" outlineLevel="1">
      <c r="A18" s="48" t="s">
        <v>567</v>
      </c>
      <c r="B18" s="31">
        <f>'CC-Coolrooms'!P12</f>
        <v>315.976704</v>
      </c>
      <c r="C18" s="71">
        <f>B18*'Greenhouse Emission Factors'!$C$52/1000</f>
        <v>0.28216719667199996</v>
      </c>
    </row>
    <row r="19" spans="1:3" ht="12.75" hidden="1" outlineLevel="1">
      <c r="A19" s="48" t="s">
        <v>568</v>
      </c>
      <c r="B19" s="31">
        <f>'CC-Cold Storage '!D45</f>
        <v>462.13750000000005</v>
      </c>
      <c r="C19" s="71">
        <f>B19*'Greenhouse Emission Factors'!$C$52/1000</f>
        <v>0.41268878750000004</v>
      </c>
    </row>
    <row r="20" spans="1:3" ht="12.75" hidden="1" outlineLevel="1">
      <c r="A20" s="48" t="s">
        <v>105</v>
      </c>
      <c r="B20" s="31">
        <f>'CC-Supermarket'!C4</f>
        <v>5270.4</v>
      </c>
      <c r="C20" s="71">
        <f>B20*'Greenhouse Emission Factors'!$C$52/1000</f>
        <v>4.7064672</v>
      </c>
    </row>
    <row r="21" spans="1:2" ht="12.75" hidden="1" outlineLevel="1">
      <c r="A21" s="292" t="s">
        <v>595</v>
      </c>
      <c r="B21" s="31" t="s">
        <v>13</v>
      </c>
    </row>
    <row r="22" spans="1:3" ht="12.75" hidden="1" outlineLevel="1">
      <c r="A22" s="292" t="s">
        <v>372</v>
      </c>
      <c r="B22" s="31">
        <v>2680</v>
      </c>
      <c r="C22" s="71">
        <f>B22*'Greenhouse Emission Factors'!$C$52/1000</f>
        <v>2.39324</v>
      </c>
    </row>
    <row r="23" spans="1:2" ht="12.75" hidden="1" outlineLevel="1">
      <c r="A23" s="48" t="s">
        <v>373</v>
      </c>
      <c r="B23" s="31" t="s">
        <v>13</v>
      </c>
    </row>
    <row r="24" spans="1:3" ht="12.75" collapsed="1">
      <c r="A24" s="1" t="s">
        <v>550</v>
      </c>
      <c r="B24" s="113">
        <f>SUM(B25:B26)</f>
        <v>2111.060095406077</v>
      </c>
      <c r="C24" s="71">
        <f>B24*'Greenhouse Emission Factors'!$C$52/1000</f>
        <v>1.8851766651976267</v>
      </c>
    </row>
    <row r="25" spans="1:3" ht="12.75" hidden="1" outlineLevel="1">
      <c r="A25" s="292" t="s">
        <v>600</v>
      </c>
      <c r="B25" s="45">
        <f>Chillers!B91/1000000</f>
        <v>2111.060095406077</v>
      </c>
      <c r="C25" s="71">
        <f>B25*'Greenhouse Emission Factors'!$C$52/1000</f>
        <v>1.8851766651976267</v>
      </c>
    </row>
    <row r="26" spans="1:2" ht="12.75" hidden="1" outlineLevel="1">
      <c r="A26" s="292" t="s">
        <v>549</v>
      </c>
      <c r="B26" s="31" t="s">
        <v>13</v>
      </c>
    </row>
    <row r="27" spans="1:3" ht="12.75" collapsed="1">
      <c r="A27" s="1" t="s">
        <v>469</v>
      </c>
      <c r="B27" s="113" t="s">
        <v>13</v>
      </c>
      <c r="C27" s="71">
        <f>'Auto Air'!H17/1000000</f>
        <v>1.8603522525777778</v>
      </c>
    </row>
    <row r="28" spans="1:3" ht="12.75">
      <c r="A28" s="1" t="s">
        <v>371</v>
      </c>
      <c r="B28" s="113">
        <v>9470</v>
      </c>
      <c r="C28" s="71">
        <f>B28*'Greenhouse Emission Factors'!$C$52/1000</f>
        <v>8.456710000000001</v>
      </c>
    </row>
    <row r="31" spans="1:3" ht="12.75">
      <c r="A31" t="s">
        <v>826</v>
      </c>
      <c r="B31" s="113">
        <f>SUM(B2,B7,B15,B24,B28)</f>
        <v>45039.21172423585</v>
      </c>
      <c r="C31" s="113">
        <f>SUM(C2,C7,C15,C24,C28)</f>
        <v>40.22001606974262</v>
      </c>
    </row>
    <row r="35" ht="12.75">
      <c r="A35" s="204" t="s">
        <v>827</v>
      </c>
    </row>
    <row r="36" ht="26.25">
      <c r="A36" s="382" t="s">
        <v>828</v>
      </c>
    </row>
  </sheetData>
  <sheetProtection/>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L129"/>
  <sheetViews>
    <sheetView tabSelected="1" zoomScalePageLayoutView="0" workbookViewId="0" topLeftCell="A128">
      <selection activeCell="C83" sqref="C83"/>
    </sheetView>
  </sheetViews>
  <sheetFormatPr defaultColWidth="9.140625" defaultRowHeight="12.75" outlineLevelRow="2"/>
  <cols>
    <col min="1" max="1" width="26.421875" style="0" customWidth="1"/>
    <col min="2" max="2" width="15.7109375" style="0" customWidth="1"/>
    <col min="3" max="3" width="13.8515625" style="0" bestFit="1" customWidth="1"/>
    <col min="4" max="4" width="15.57421875" style="0" bestFit="1" customWidth="1"/>
    <col min="5" max="5" width="12.7109375" style="0" bestFit="1" customWidth="1"/>
    <col min="6" max="6" width="15.8515625" style="0" customWidth="1"/>
    <col min="7" max="7" width="12.140625" style="0" bestFit="1" customWidth="1"/>
    <col min="8" max="8" width="12.7109375" style="0" bestFit="1" customWidth="1"/>
    <col min="9" max="9" width="14.8515625" style="0" customWidth="1"/>
    <col min="10" max="10" width="13.8515625" style="0" bestFit="1" customWidth="1"/>
    <col min="12" max="12" width="9.57421875" style="0" bestFit="1" customWidth="1"/>
  </cols>
  <sheetData>
    <row r="1" ht="15.75">
      <c r="A1" s="97" t="s">
        <v>622</v>
      </c>
    </row>
    <row r="2" spans="1:9" ht="12.75">
      <c r="A2" s="389"/>
      <c r="B2" s="388" t="s">
        <v>162</v>
      </c>
      <c r="C2" s="388" t="s">
        <v>457</v>
      </c>
      <c r="D2" s="388" t="s">
        <v>164</v>
      </c>
      <c r="E2" s="388" t="s">
        <v>165</v>
      </c>
      <c r="F2" s="388" t="s">
        <v>166</v>
      </c>
      <c r="G2" s="388" t="s">
        <v>167</v>
      </c>
      <c r="H2" s="388" t="s">
        <v>168</v>
      </c>
      <c r="I2" s="388" t="s">
        <v>169</v>
      </c>
    </row>
    <row r="3" spans="1:9" ht="12.75">
      <c r="A3" s="390"/>
      <c r="B3" s="388"/>
      <c r="C3" s="388" t="s">
        <v>170</v>
      </c>
      <c r="D3" s="388"/>
      <c r="E3" s="388"/>
      <c r="F3" s="388" t="s">
        <v>171</v>
      </c>
      <c r="G3" s="388"/>
      <c r="H3" s="388"/>
      <c r="I3" s="388"/>
    </row>
    <row r="4" spans="1:9" ht="12.75" hidden="1" outlineLevel="1">
      <c r="A4" s="103" t="s">
        <v>485</v>
      </c>
      <c r="B4" s="133"/>
      <c r="C4" s="133"/>
      <c r="D4" s="133"/>
      <c r="E4" s="133"/>
      <c r="F4" s="133"/>
      <c r="G4" s="133"/>
      <c r="H4" s="133"/>
      <c r="I4" s="133"/>
    </row>
    <row r="5" spans="1:9" ht="12.75" hidden="1" outlineLevel="2">
      <c r="A5" s="9" t="s">
        <v>314</v>
      </c>
      <c r="B5" s="130">
        <v>600</v>
      </c>
      <c r="C5" s="130">
        <v>180</v>
      </c>
      <c r="D5" s="130">
        <v>100</v>
      </c>
      <c r="E5" s="130">
        <v>50</v>
      </c>
      <c r="F5" s="130">
        <v>200</v>
      </c>
      <c r="G5" s="130">
        <v>2000</v>
      </c>
      <c r="H5" s="130">
        <v>300</v>
      </c>
      <c r="I5" s="130" t="s">
        <v>13</v>
      </c>
    </row>
    <row r="6" spans="1:9" ht="12.75" hidden="1" outlineLevel="2">
      <c r="A6" s="9" t="s">
        <v>315</v>
      </c>
      <c r="B6" s="130">
        <v>100</v>
      </c>
      <c r="C6" s="130">
        <v>300</v>
      </c>
      <c r="D6" s="130">
        <v>350</v>
      </c>
      <c r="E6" s="130">
        <v>450</v>
      </c>
      <c r="F6" s="130">
        <v>250</v>
      </c>
      <c r="G6" s="130">
        <v>0</v>
      </c>
      <c r="H6" s="130">
        <v>150</v>
      </c>
      <c r="I6" s="130" t="s">
        <v>13</v>
      </c>
    </row>
    <row r="7" spans="1:9" ht="12.75" hidden="1" outlineLevel="2">
      <c r="A7" s="9" t="s">
        <v>316</v>
      </c>
      <c r="B7" s="128">
        <v>0.302</v>
      </c>
      <c r="C7" s="128">
        <v>0.28</v>
      </c>
      <c r="D7" s="128">
        <v>0.199</v>
      </c>
      <c r="E7" s="128">
        <v>0.018</v>
      </c>
      <c r="F7" s="128">
        <v>0.064</v>
      </c>
      <c r="G7" s="128">
        <v>0.02</v>
      </c>
      <c r="H7" s="128">
        <v>0.117</v>
      </c>
      <c r="I7" s="147">
        <f>SUM(B7:H7)</f>
        <v>1.0000000000000002</v>
      </c>
    </row>
    <row r="8" spans="1:10" ht="12.75" hidden="1" outlineLevel="2">
      <c r="A8" s="129" t="s">
        <v>147</v>
      </c>
      <c r="B8" s="81">
        <f>B7*$I$8</f>
        <v>751074</v>
      </c>
      <c r="C8" s="81">
        <f aca="true" t="shared" si="0" ref="C8:H8">C7*$I$8</f>
        <v>696360.0000000001</v>
      </c>
      <c r="D8" s="81">
        <f t="shared" si="0"/>
        <v>494913</v>
      </c>
      <c r="E8" s="81">
        <f t="shared" si="0"/>
        <v>44766</v>
      </c>
      <c r="F8" s="81">
        <f t="shared" si="0"/>
        <v>159168</v>
      </c>
      <c r="G8" s="81">
        <f t="shared" si="0"/>
        <v>49740</v>
      </c>
      <c r="H8" s="81">
        <f t="shared" si="0"/>
        <v>290979</v>
      </c>
      <c r="I8" s="130">
        <f>B112*(1-B113)</f>
        <v>2487000</v>
      </c>
      <c r="J8" s="32">
        <f>SUM(B8:I8)/2</f>
        <v>2487000</v>
      </c>
    </row>
    <row r="9" spans="1:9" ht="12.75" hidden="1" outlineLevel="2">
      <c r="A9" s="9" t="s">
        <v>317</v>
      </c>
      <c r="B9" s="81">
        <f>B8*B5</f>
        <v>450644400</v>
      </c>
      <c r="C9" s="81">
        <f aca="true" t="shared" si="1" ref="C9:H9">C8*C5</f>
        <v>125344800.00000001</v>
      </c>
      <c r="D9" s="81">
        <f t="shared" si="1"/>
        <v>49491300</v>
      </c>
      <c r="E9" s="81">
        <f t="shared" si="1"/>
        <v>2238300</v>
      </c>
      <c r="F9" s="81">
        <f t="shared" si="1"/>
        <v>31833600</v>
      </c>
      <c r="G9" s="81">
        <f t="shared" si="1"/>
        <v>99480000</v>
      </c>
      <c r="H9" s="81">
        <f t="shared" si="1"/>
        <v>87293700</v>
      </c>
      <c r="I9" s="130">
        <f>SUM(B9:H9)</f>
        <v>846326100</v>
      </c>
    </row>
    <row r="10" spans="1:12" ht="12.75" hidden="1" outlineLevel="2">
      <c r="A10" s="9" t="s">
        <v>318</v>
      </c>
      <c r="B10" s="81">
        <f>B8*B6</f>
        <v>75107400</v>
      </c>
      <c r="C10" s="81">
        <f aca="true" t="shared" si="2" ref="C10:H10">C8*C6</f>
        <v>208908000.00000003</v>
      </c>
      <c r="D10" s="81">
        <f t="shared" si="2"/>
        <v>173219550</v>
      </c>
      <c r="E10" s="81">
        <f t="shared" si="2"/>
        <v>20144700</v>
      </c>
      <c r="F10" s="81">
        <f t="shared" si="2"/>
        <v>39792000</v>
      </c>
      <c r="G10" s="81">
        <f t="shared" si="2"/>
        <v>0</v>
      </c>
      <c r="H10" s="81">
        <f t="shared" si="2"/>
        <v>43646850</v>
      </c>
      <c r="I10" s="130">
        <f>SUM(B10:H10)</f>
        <v>560818500</v>
      </c>
      <c r="L10" s="134"/>
    </row>
    <row r="11" spans="1:10" ht="12.75" hidden="1" outlineLevel="2">
      <c r="A11" s="129" t="s">
        <v>320</v>
      </c>
      <c r="B11" s="81">
        <f>$B$111/$B$109*B9</f>
        <v>1022616138.4615384</v>
      </c>
      <c r="C11" s="81">
        <f aca="true" t="shared" si="3" ref="C11:H11">$B$111/$B$109*C9</f>
        <v>284436276.9230769</v>
      </c>
      <c r="D11" s="81">
        <f t="shared" si="3"/>
        <v>112307180.76923077</v>
      </c>
      <c r="E11" s="81">
        <f t="shared" si="3"/>
        <v>5079219.230769231</v>
      </c>
      <c r="F11" s="81">
        <f t="shared" si="3"/>
        <v>72237784.61538461</v>
      </c>
      <c r="G11" s="81">
        <f t="shared" si="3"/>
        <v>225743076.92307693</v>
      </c>
      <c r="H11" s="81">
        <f t="shared" si="3"/>
        <v>198089550</v>
      </c>
      <c r="I11" s="81">
        <f>SUM(B11:H11)</f>
        <v>1920509226.9230769</v>
      </c>
      <c r="J11" s="32"/>
    </row>
    <row r="12" spans="1:10" ht="12.75" hidden="1" outlineLevel="2">
      <c r="A12" s="129" t="s">
        <v>351</v>
      </c>
      <c r="B12" s="81">
        <f>$B$111/$B$110*B10</f>
        <v>152804710.34482762</v>
      </c>
      <c r="C12" s="81">
        <f aca="true" t="shared" si="4" ref="C12:H12">$B$111/$B$110*C10</f>
        <v>425019724.13793117</v>
      </c>
      <c r="D12" s="81">
        <f t="shared" si="4"/>
        <v>352412187.9310345</v>
      </c>
      <c r="E12" s="81">
        <f t="shared" si="4"/>
        <v>40984044.82758621</v>
      </c>
      <c r="F12" s="81">
        <f t="shared" si="4"/>
        <v>80956137.93103449</v>
      </c>
      <c r="G12" s="81">
        <f t="shared" si="4"/>
        <v>0</v>
      </c>
      <c r="H12" s="81">
        <f t="shared" si="4"/>
        <v>88798763.79310346</v>
      </c>
      <c r="I12" s="81">
        <f>SUM(B12:H12)</f>
        <v>1140975568.9655175</v>
      </c>
      <c r="J12" s="32"/>
    </row>
    <row r="13" spans="1:10" ht="12.75" collapsed="1">
      <c r="A13" s="103" t="s">
        <v>484</v>
      </c>
      <c r="B13" s="81">
        <f>SUM(B11:B12)</f>
        <v>1175420848.806366</v>
      </c>
      <c r="C13" s="81">
        <f aca="true" t="shared" si="5" ref="C13:H13">SUM(C11:C12)</f>
        <v>709456001.0610081</v>
      </c>
      <c r="D13" s="81">
        <f t="shared" si="5"/>
        <v>464719368.7002653</v>
      </c>
      <c r="E13" s="81">
        <f t="shared" si="5"/>
        <v>46063264.05835544</v>
      </c>
      <c r="F13" s="81">
        <f t="shared" si="5"/>
        <v>153193922.54641908</v>
      </c>
      <c r="G13" s="81">
        <f t="shared" si="5"/>
        <v>225743076.92307693</v>
      </c>
      <c r="H13" s="81">
        <f t="shared" si="5"/>
        <v>286888313.79310346</v>
      </c>
      <c r="I13" s="81">
        <f>SUM(B13:H13)</f>
        <v>3061484795.8885946</v>
      </c>
      <c r="J13" s="32"/>
    </row>
    <row r="14" spans="1:10" ht="12.75" hidden="1" outlineLevel="1">
      <c r="A14" s="1" t="s">
        <v>481</v>
      </c>
      <c r="B14" s="86"/>
      <c r="C14" s="146"/>
      <c r="D14" s="146"/>
      <c r="E14" s="146"/>
      <c r="F14" s="146"/>
      <c r="G14" s="146"/>
      <c r="H14" s="146"/>
      <c r="I14" s="86"/>
      <c r="J14" s="32"/>
    </row>
    <row r="15" spans="1:10" ht="12.75" hidden="1" outlineLevel="1">
      <c r="A15" s="144" t="s">
        <v>348</v>
      </c>
      <c r="B15" s="201">
        <f aca="true" t="shared" si="6" ref="B15:H15">$F$129</f>
        <v>5.45</v>
      </c>
      <c r="C15" s="201">
        <f t="shared" si="6"/>
        <v>5.45</v>
      </c>
      <c r="D15" s="201">
        <f t="shared" si="6"/>
        <v>5.45</v>
      </c>
      <c r="E15" s="201">
        <f t="shared" si="6"/>
        <v>5.45</v>
      </c>
      <c r="F15" s="201">
        <f t="shared" si="6"/>
        <v>5.45</v>
      </c>
      <c r="G15" s="201">
        <f t="shared" si="6"/>
        <v>5.45</v>
      </c>
      <c r="H15" s="201">
        <f t="shared" si="6"/>
        <v>5.45</v>
      </c>
      <c r="I15" s="133" t="s">
        <v>13</v>
      </c>
      <c r="J15" s="32"/>
    </row>
    <row r="16" spans="1:10" ht="12.75" hidden="1" outlineLevel="1">
      <c r="A16" s="9" t="s">
        <v>349</v>
      </c>
      <c r="B16" s="154">
        <f>B5/(B5+B6)</f>
        <v>0.8571428571428571</v>
      </c>
      <c r="C16" s="154">
        <f aca="true" t="shared" si="7" ref="C16:H16">C5/(C5+C6)</f>
        <v>0.375</v>
      </c>
      <c r="D16" s="154">
        <f t="shared" si="7"/>
        <v>0.2222222222222222</v>
      </c>
      <c r="E16" s="154">
        <f t="shared" si="7"/>
        <v>0.1</v>
      </c>
      <c r="F16" s="154">
        <f t="shared" si="7"/>
        <v>0.4444444444444444</v>
      </c>
      <c r="G16" s="154">
        <f t="shared" si="7"/>
        <v>1</v>
      </c>
      <c r="H16" s="154">
        <f t="shared" si="7"/>
        <v>0.6666666666666666</v>
      </c>
      <c r="I16" s="130" t="s">
        <v>13</v>
      </c>
      <c r="J16" s="32"/>
    </row>
    <row r="17" spans="1:10" ht="12.75" hidden="1" outlineLevel="1">
      <c r="A17" s="9" t="s">
        <v>316</v>
      </c>
      <c r="B17" s="128">
        <v>0.302</v>
      </c>
      <c r="C17" s="128">
        <v>0.28</v>
      </c>
      <c r="D17" s="128">
        <v>0.199</v>
      </c>
      <c r="E17" s="128">
        <v>0.018</v>
      </c>
      <c r="F17" s="128">
        <v>0.064</v>
      </c>
      <c r="G17" s="128">
        <v>0.02</v>
      </c>
      <c r="H17" s="128">
        <v>0.117</v>
      </c>
      <c r="I17" s="147">
        <f>SUM(B17:H17)</f>
        <v>1.0000000000000002</v>
      </c>
      <c r="J17" s="32"/>
    </row>
    <row r="18" spans="1:10" ht="12.75" hidden="1" outlineLevel="1">
      <c r="A18" s="129" t="s">
        <v>147</v>
      </c>
      <c r="B18" s="81">
        <f>$I$18*B17</f>
        <v>250358</v>
      </c>
      <c r="C18" s="81">
        <f aca="true" t="shared" si="8" ref="C18:H18">$I$18*C17</f>
        <v>232120.00000000003</v>
      </c>
      <c r="D18" s="81">
        <f t="shared" si="8"/>
        <v>164971</v>
      </c>
      <c r="E18" s="81">
        <f t="shared" si="8"/>
        <v>14921.999999999998</v>
      </c>
      <c r="F18" s="81">
        <f t="shared" si="8"/>
        <v>53056</v>
      </c>
      <c r="G18" s="81">
        <f t="shared" si="8"/>
        <v>16580</v>
      </c>
      <c r="H18" s="81">
        <f t="shared" si="8"/>
        <v>96993</v>
      </c>
      <c r="I18" s="81">
        <f>B112*B113</f>
        <v>829000</v>
      </c>
      <c r="J18" s="32"/>
    </row>
    <row r="19" spans="1:10" ht="12.75" hidden="1" outlineLevel="1">
      <c r="A19" s="9" t="s">
        <v>331</v>
      </c>
      <c r="B19" s="81">
        <f>B18*B15*365</f>
        <v>498024651.50000006</v>
      </c>
      <c r="C19" s="81">
        <f aca="true" t="shared" si="9" ref="C19:H19">C18*C15*365</f>
        <v>461744710.00000006</v>
      </c>
      <c r="D19" s="81">
        <f t="shared" si="9"/>
        <v>328168561.75</v>
      </c>
      <c r="E19" s="81">
        <f t="shared" si="9"/>
        <v>29683588.499999996</v>
      </c>
      <c r="F19" s="81">
        <f t="shared" si="9"/>
        <v>105541648</v>
      </c>
      <c r="G19" s="81">
        <f t="shared" si="9"/>
        <v>32981765</v>
      </c>
      <c r="H19" s="81">
        <f t="shared" si="9"/>
        <v>192943325.25</v>
      </c>
      <c r="I19" s="81">
        <f>SUM(B19:H19)</f>
        <v>1649088250</v>
      </c>
      <c r="J19" s="32"/>
    </row>
    <row r="20" spans="1:10" ht="12.75" collapsed="1">
      <c r="A20" s="103" t="s">
        <v>482</v>
      </c>
      <c r="B20" s="81">
        <f>$B$111/($B$109*B16+$B$110*(1-B16))*B19</f>
        <v>1111806384.1594596</v>
      </c>
      <c r="C20" s="81">
        <f aca="true" t="shared" si="10" ref="C20:H20">$B$111/($B$109*C16+$B$110*(1-C16))*C19</f>
        <v>977325126.0986547</v>
      </c>
      <c r="D20" s="81">
        <f t="shared" si="10"/>
        <v>683362769.7617648</v>
      </c>
      <c r="E20" s="81">
        <f t="shared" si="10"/>
        <v>61022011.202090584</v>
      </c>
      <c r="F20" s="81">
        <f t="shared" si="10"/>
        <v>225070743.32530123</v>
      </c>
      <c r="G20" s="81">
        <f t="shared" si="10"/>
        <v>74843235.96153846</v>
      </c>
      <c r="H20" s="81">
        <f t="shared" si="10"/>
        <v>421616895.9166666</v>
      </c>
      <c r="I20" s="81">
        <f>SUM(B20:H20)</f>
        <v>3555047166.425476</v>
      </c>
      <c r="J20" s="32">
        <f>I20+I13</f>
        <v>6616531962.314071</v>
      </c>
    </row>
    <row r="21" ht="12.75" hidden="1" outlineLevel="1">
      <c r="A21" s="135" t="s">
        <v>486</v>
      </c>
    </row>
    <row r="22" spans="1:9" ht="12.75" hidden="1" outlineLevel="1">
      <c r="A22" s="9" t="s">
        <v>314</v>
      </c>
      <c r="B22" s="130">
        <v>600</v>
      </c>
      <c r="C22" s="130">
        <v>180</v>
      </c>
      <c r="D22" s="130">
        <v>100</v>
      </c>
      <c r="E22" s="130">
        <v>50</v>
      </c>
      <c r="F22" s="130">
        <v>200</v>
      </c>
      <c r="G22" s="130">
        <v>2000</v>
      </c>
      <c r="H22" s="130">
        <v>300</v>
      </c>
      <c r="I22" s="130" t="s">
        <v>13</v>
      </c>
    </row>
    <row r="23" spans="1:9" ht="12.75" hidden="1" outlineLevel="1">
      <c r="A23" s="9" t="s">
        <v>316</v>
      </c>
      <c r="B23" s="128">
        <v>0.302</v>
      </c>
      <c r="C23" s="128">
        <v>0.28</v>
      </c>
      <c r="D23" s="128">
        <v>0.199</v>
      </c>
      <c r="E23" s="128">
        <v>0.018</v>
      </c>
      <c r="F23" s="128">
        <v>0.064</v>
      </c>
      <c r="G23" s="128">
        <v>0.02</v>
      </c>
      <c r="H23" s="128">
        <v>0.117</v>
      </c>
      <c r="I23" s="147">
        <f>SUM(B23:H23)</f>
        <v>1.0000000000000002</v>
      </c>
    </row>
    <row r="24" spans="1:10" ht="12.75" hidden="1" outlineLevel="1">
      <c r="A24" s="129" t="s">
        <v>147</v>
      </c>
      <c r="B24" s="81">
        <f>$I$24*B23</f>
        <v>674668</v>
      </c>
      <c r="C24" s="81">
        <f aca="true" t="shared" si="11" ref="C24:H24">$I$24*C23</f>
        <v>625520.0000000001</v>
      </c>
      <c r="D24" s="81">
        <f t="shared" si="11"/>
        <v>444566</v>
      </c>
      <c r="E24" s="81">
        <f t="shared" si="11"/>
        <v>40212</v>
      </c>
      <c r="F24" s="81">
        <f t="shared" si="11"/>
        <v>142976</v>
      </c>
      <c r="G24" s="81">
        <f t="shared" si="11"/>
        <v>44680</v>
      </c>
      <c r="H24" s="81">
        <f t="shared" si="11"/>
        <v>261378.00000000003</v>
      </c>
      <c r="I24" s="81">
        <f>C112</f>
        <v>2234000</v>
      </c>
      <c r="J24" s="32"/>
    </row>
    <row r="25" spans="1:10" ht="12.75" hidden="1" outlineLevel="1">
      <c r="A25" s="129" t="s">
        <v>458</v>
      </c>
      <c r="B25" s="81">
        <f>B24*(1-$C$113)</f>
        <v>539734.4</v>
      </c>
      <c r="C25" s="81">
        <f aca="true" t="shared" si="12" ref="C25:H25">C24*(1-$C$113)</f>
        <v>500416.0000000001</v>
      </c>
      <c r="D25" s="81">
        <f t="shared" si="12"/>
        <v>355652.80000000005</v>
      </c>
      <c r="E25" s="81">
        <f t="shared" si="12"/>
        <v>32169.600000000002</v>
      </c>
      <c r="F25" s="81">
        <f t="shared" si="12"/>
        <v>114380.8</v>
      </c>
      <c r="G25" s="81">
        <f t="shared" si="12"/>
        <v>35744</v>
      </c>
      <c r="H25" s="81">
        <f t="shared" si="12"/>
        <v>209102.40000000002</v>
      </c>
      <c r="I25" s="81">
        <f>SUM(B25:H25)</f>
        <v>1787200.0000000005</v>
      </c>
      <c r="J25" s="32"/>
    </row>
    <row r="26" spans="1:9" ht="12.75" hidden="1" outlineLevel="1">
      <c r="A26" s="9" t="s">
        <v>317</v>
      </c>
      <c r="B26" s="81">
        <f>B24*B22</f>
        <v>404800800</v>
      </c>
      <c r="C26" s="81">
        <f aca="true" t="shared" si="13" ref="C26:H26">C24*C22</f>
        <v>112593600.00000001</v>
      </c>
      <c r="D26" s="81">
        <f t="shared" si="13"/>
        <v>44456600</v>
      </c>
      <c r="E26" s="81">
        <f t="shared" si="13"/>
        <v>2010600</v>
      </c>
      <c r="F26" s="81">
        <f t="shared" si="13"/>
        <v>28595200</v>
      </c>
      <c r="G26" s="81">
        <f t="shared" si="13"/>
        <v>89360000</v>
      </c>
      <c r="H26" s="81">
        <f t="shared" si="13"/>
        <v>78413400.00000001</v>
      </c>
      <c r="I26" s="130">
        <f>SUM(B26:H26)</f>
        <v>760230200</v>
      </c>
    </row>
    <row r="27" spans="1:9" ht="12.75" collapsed="1">
      <c r="A27" s="135" t="s">
        <v>353</v>
      </c>
      <c r="B27" s="81">
        <f>$C$111/$C$109*B26</f>
        <v>578286857.1428571</v>
      </c>
      <c r="C27" s="81">
        <f aca="true" t="shared" si="14" ref="C27:H27">$C$111/$C$109*C26</f>
        <v>160848000</v>
      </c>
      <c r="D27" s="81">
        <f t="shared" si="14"/>
        <v>63509428.57142856</v>
      </c>
      <c r="E27" s="81">
        <f t="shared" si="14"/>
        <v>2872285.714285714</v>
      </c>
      <c r="F27" s="81">
        <f t="shared" si="14"/>
        <v>40850285.71428571</v>
      </c>
      <c r="G27" s="81">
        <f t="shared" si="14"/>
        <v>127657142.85714284</v>
      </c>
      <c r="H27" s="81">
        <f t="shared" si="14"/>
        <v>112019142.85714287</v>
      </c>
      <c r="I27" s="81">
        <f>SUM(B27:H27)</f>
        <v>1086043142.8571427</v>
      </c>
    </row>
    <row r="28" ht="12.75" hidden="1" outlineLevel="1">
      <c r="A28" s="135" t="s">
        <v>321</v>
      </c>
    </row>
    <row r="29" spans="1:9" ht="12.75" hidden="1" outlineLevel="1">
      <c r="A29" s="9" t="s">
        <v>314</v>
      </c>
      <c r="B29" s="130">
        <v>600</v>
      </c>
      <c r="C29" s="130">
        <v>180</v>
      </c>
      <c r="D29" s="130">
        <v>100</v>
      </c>
      <c r="E29" s="130">
        <v>50</v>
      </c>
      <c r="F29" s="130">
        <v>200</v>
      </c>
      <c r="G29" s="130">
        <v>2000</v>
      </c>
      <c r="H29" s="130">
        <v>300</v>
      </c>
      <c r="I29" s="130" t="s">
        <v>13</v>
      </c>
    </row>
    <row r="30" spans="1:9" ht="12.75" hidden="1" outlineLevel="1">
      <c r="A30" s="9" t="s">
        <v>316</v>
      </c>
      <c r="B30" s="128">
        <v>0.3020413543031726</v>
      </c>
      <c r="C30" s="128">
        <v>0.2798802193071457</v>
      </c>
      <c r="D30" s="128">
        <v>0.19936392583306942</v>
      </c>
      <c r="E30" s="128">
        <v>0.017814438542225728</v>
      </c>
      <c r="F30" s="128">
        <v>0.06363301896274776</v>
      </c>
      <c r="G30" s="128">
        <v>0.020608878867128012</v>
      </c>
      <c r="H30" s="128">
        <v>0.11661075257397634</v>
      </c>
      <c r="I30" s="131">
        <f>SUM(B30:H30)</f>
        <v>0.9999525883894655</v>
      </c>
    </row>
    <row r="31" spans="1:9" ht="12.75" hidden="1" outlineLevel="1">
      <c r="A31" s="129" t="s">
        <v>147</v>
      </c>
      <c r="B31" s="81">
        <f>B30*$I$31</f>
        <v>63428.684403666244</v>
      </c>
      <c r="C31" s="81">
        <f aca="true" t="shared" si="15" ref="C31:H31">C30*$I$31</f>
        <v>58774.846054500595</v>
      </c>
      <c r="D31" s="81">
        <f t="shared" si="15"/>
        <v>41866.42442494458</v>
      </c>
      <c r="E31" s="81">
        <f t="shared" si="15"/>
        <v>3741.032093867403</v>
      </c>
      <c r="F31" s="81">
        <f t="shared" si="15"/>
        <v>13362.933982177028</v>
      </c>
      <c r="G31" s="81">
        <f t="shared" si="15"/>
        <v>4327.864562096883</v>
      </c>
      <c r="H31" s="81">
        <f t="shared" si="15"/>
        <v>24488.25804053503</v>
      </c>
      <c r="I31" s="81">
        <f>D112</f>
        <v>210000</v>
      </c>
    </row>
    <row r="32" spans="1:9" ht="12.75" hidden="1" outlineLevel="1">
      <c r="A32" s="9" t="s">
        <v>317</v>
      </c>
      <c r="B32" s="81">
        <f aca="true" t="shared" si="16" ref="B32:H32">B31*B29</f>
        <v>38057210.64219975</v>
      </c>
      <c r="C32" s="81">
        <f t="shared" si="16"/>
        <v>10579472.289810106</v>
      </c>
      <c r="D32" s="81">
        <f t="shared" si="16"/>
        <v>4186642.4424944576</v>
      </c>
      <c r="E32" s="81">
        <f t="shared" si="16"/>
        <v>187051.60469337014</v>
      </c>
      <c r="F32" s="81">
        <f t="shared" si="16"/>
        <v>2672586.7964354055</v>
      </c>
      <c r="G32" s="81">
        <f t="shared" si="16"/>
        <v>8655729.124193765</v>
      </c>
      <c r="H32" s="81">
        <f t="shared" si="16"/>
        <v>7346477.412160509</v>
      </c>
      <c r="I32" s="130">
        <f>SUM(B32:H32)</f>
        <v>71685170.31198737</v>
      </c>
    </row>
    <row r="33" spans="1:9" ht="12.75" collapsed="1">
      <c r="A33" s="155" t="s">
        <v>354</v>
      </c>
      <c r="B33" s="81">
        <f>$D$111/$D$109*B32</f>
        <v>38833888.41040791</v>
      </c>
      <c r="C33" s="81">
        <f aca="true" t="shared" si="17" ref="C33:H33">$D$111/$D$109*C32</f>
        <v>10795379.887561332</v>
      </c>
      <c r="D33" s="81">
        <f t="shared" si="17"/>
        <v>4272084.124994345</v>
      </c>
      <c r="E33" s="81">
        <f t="shared" si="17"/>
        <v>190868.98438098995</v>
      </c>
      <c r="F33" s="81">
        <f t="shared" si="17"/>
        <v>2727129.3841177607</v>
      </c>
      <c r="G33" s="81">
        <f t="shared" si="17"/>
        <v>8832376.657340577</v>
      </c>
      <c r="H33" s="81">
        <f t="shared" si="17"/>
        <v>7496405.5226127645</v>
      </c>
      <c r="I33" s="81">
        <f>SUM(B33:H33)</f>
        <v>73148132.97141567</v>
      </c>
    </row>
    <row r="34" ht="12.75" hidden="1" outlineLevel="1">
      <c r="A34" s="1" t="s">
        <v>328</v>
      </c>
    </row>
    <row r="35" spans="1:9" ht="12.75" hidden="1" outlineLevel="1">
      <c r="A35" s="9" t="s">
        <v>314</v>
      </c>
      <c r="B35" s="130">
        <v>600</v>
      </c>
      <c r="C35" s="130">
        <v>180</v>
      </c>
      <c r="D35" s="130">
        <v>100</v>
      </c>
      <c r="E35" s="130">
        <v>50</v>
      </c>
      <c r="F35" s="130">
        <v>200</v>
      </c>
      <c r="G35" s="130">
        <v>2000</v>
      </c>
      <c r="H35" s="130">
        <v>300</v>
      </c>
      <c r="I35" s="130" t="s">
        <v>13</v>
      </c>
    </row>
    <row r="36" spans="1:9" ht="12.75" hidden="1" outlineLevel="1">
      <c r="A36" s="9" t="s">
        <v>315</v>
      </c>
      <c r="B36" s="130">
        <v>100</v>
      </c>
      <c r="C36" s="130">
        <v>300</v>
      </c>
      <c r="D36" s="130">
        <v>350</v>
      </c>
      <c r="E36" s="130">
        <v>450</v>
      </c>
      <c r="F36" s="130">
        <v>250</v>
      </c>
      <c r="G36" s="130">
        <v>0</v>
      </c>
      <c r="H36" s="130">
        <v>150</v>
      </c>
      <c r="I36" s="130" t="s">
        <v>13</v>
      </c>
    </row>
    <row r="37" spans="1:9" ht="12.75" hidden="1" outlineLevel="1">
      <c r="A37" s="9" t="s">
        <v>316</v>
      </c>
      <c r="B37" s="128">
        <v>0.22635730836405768</v>
      </c>
      <c r="C37" s="128">
        <v>0.35675822743064</v>
      </c>
      <c r="D37" s="128">
        <v>0.13408779195059684</v>
      </c>
      <c r="E37" s="128">
        <v>0.020443804172263567</v>
      </c>
      <c r="F37" s="128">
        <v>0.11555607959464363</v>
      </c>
      <c r="G37" s="128">
        <v>0.013338705296900101</v>
      </c>
      <c r="H37" s="128">
        <v>0.1334580831908982</v>
      </c>
      <c r="I37" s="131">
        <f>SUM(B37:H37)</f>
        <v>1</v>
      </c>
    </row>
    <row r="38" spans="1:9" ht="12.75" hidden="1" outlineLevel="1">
      <c r="A38" s="129" t="s">
        <v>147</v>
      </c>
      <c r="B38" s="81">
        <f>B37*$I$38</f>
        <v>94843.71220454016</v>
      </c>
      <c r="C38" s="81">
        <f aca="true" t="shared" si="18" ref="C38:H38">C37*$I$38</f>
        <v>149481.69729343816</v>
      </c>
      <c r="D38" s="81">
        <f t="shared" si="18"/>
        <v>56182.78482730007</v>
      </c>
      <c r="E38" s="81">
        <f t="shared" si="18"/>
        <v>8565.953948178434</v>
      </c>
      <c r="F38" s="81">
        <f t="shared" si="18"/>
        <v>48417.99735015568</v>
      </c>
      <c r="G38" s="81">
        <f t="shared" si="18"/>
        <v>5588.917519401142</v>
      </c>
      <c r="H38" s="81">
        <f t="shared" si="18"/>
        <v>55918.93685698634</v>
      </c>
      <c r="I38" s="130">
        <f>E112*(1-E113)</f>
        <v>419000</v>
      </c>
    </row>
    <row r="39" spans="1:9" ht="12.75" hidden="1" outlineLevel="1">
      <c r="A39" s="9" t="s">
        <v>317</v>
      </c>
      <c r="B39" s="81">
        <f>B38*B35</f>
        <v>56906227.3227241</v>
      </c>
      <c r="C39" s="81">
        <f aca="true" t="shared" si="19" ref="C39:H39">C38*C35</f>
        <v>26906705.51281887</v>
      </c>
      <c r="D39" s="81">
        <f t="shared" si="19"/>
        <v>5618278.482730007</v>
      </c>
      <c r="E39" s="81">
        <f t="shared" si="19"/>
        <v>428297.6974089217</v>
      </c>
      <c r="F39" s="81">
        <f t="shared" si="19"/>
        <v>9683599.470031137</v>
      </c>
      <c r="G39" s="81">
        <f t="shared" si="19"/>
        <v>11177835.038802285</v>
      </c>
      <c r="H39" s="81">
        <f t="shared" si="19"/>
        <v>16775681.057095904</v>
      </c>
      <c r="I39" s="130">
        <f>SUM(B39:H39)</f>
        <v>127496624.5816112</v>
      </c>
    </row>
    <row r="40" spans="1:9" ht="12.75" hidden="1" outlineLevel="1">
      <c r="A40" s="9" t="s">
        <v>318</v>
      </c>
      <c r="B40" s="81">
        <f>B38*B36</f>
        <v>9484371.220454017</v>
      </c>
      <c r="C40" s="81">
        <f aca="true" t="shared" si="20" ref="C40:H40">C38*C36</f>
        <v>44844509.18803145</v>
      </c>
      <c r="D40" s="81">
        <f t="shared" si="20"/>
        <v>19663974.689555027</v>
      </c>
      <c r="E40" s="81">
        <f t="shared" si="20"/>
        <v>3854679.2766802954</v>
      </c>
      <c r="F40" s="81">
        <f t="shared" si="20"/>
        <v>12104499.33753892</v>
      </c>
      <c r="G40" s="81">
        <f t="shared" si="20"/>
        <v>0</v>
      </c>
      <c r="H40" s="81">
        <f t="shared" si="20"/>
        <v>8387840.528547952</v>
      </c>
      <c r="I40" s="130">
        <f>SUM(B40:H40)</f>
        <v>98339874.24080767</v>
      </c>
    </row>
    <row r="41" spans="1:9" ht="12.75" hidden="1" outlineLevel="1">
      <c r="A41" s="129" t="s">
        <v>320</v>
      </c>
      <c r="B41" s="81">
        <f>$E$111/$E$109*B39</f>
        <v>328305157.63110054</v>
      </c>
      <c r="C41" s="81">
        <f aca="true" t="shared" si="21" ref="C41:H41">$E$111/$E$109*C39</f>
        <v>155230993.34318578</v>
      </c>
      <c r="D41" s="81">
        <f t="shared" si="21"/>
        <v>32413145.092673115</v>
      </c>
      <c r="E41" s="81">
        <f t="shared" si="21"/>
        <v>2470948.2542822408</v>
      </c>
      <c r="F41" s="81">
        <f t="shared" si="21"/>
        <v>55866920.0194104</v>
      </c>
      <c r="G41" s="81">
        <f t="shared" si="21"/>
        <v>64487509.83924395</v>
      </c>
      <c r="H41" s="81">
        <f t="shared" si="21"/>
        <v>96782775.32939945</v>
      </c>
      <c r="I41" s="81">
        <f>SUM(B41:H41)</f>
        <v>735557449.5092956</v>
      </c>
    </row>
    <row r="42" spans="1:9" ht="12.75" hidden="1" outlineLevel="1">
      <c r="A42" s="129" t="s">
        <v>351</v>
      </c>
      <c r="B42" s="81">
        <f>$E$111/$E$110*B40</f>
        <v>49057092.519589745</v>
      </c>
      <c r="C42" s="81">
        <f aca="true" t="shared" si="22" ref="C42:H42">$E$111/$E$110*C40</f>
        <v>231954357.8691282</v>
      </c>
      <c r="D42" s="81">
        <f t="shared" si="22"/>
        <v>101710213.91149151</v>
      </c>
      <c r="E42" s="81">
        <f t="shared" si="22"/>
        <v>19937996.258691184</v>
      </c>
      <c r="F42" s="81">
        <f t="shared" si="22"/>
        <v>62609479.332097866</v>
      </c>
      <c r="G42" s="81">
        <f t="shared" si="22"/>
        <v>0</v>
      </c>
      <c r="H42" s="81">
        <f t="shared" si="22"/>
        <v>43385382.04421355</v>
      </c>
      <c r="I42" s="81">
        <f>SUM(B42:H42)</f>
        <v>508654521.9352121</v>
      </c>
    </row>
    <row r="43" spans="1:10" ht="12.75" collapsed="1">
      <c r="A43" s="103" t="s">
        <v>355</v>
      </c>
      <c r="B43" s="81">
        <f>SUM(B41:B42)</f>
        <v>377362250.15069026</v>
      </c>
      <c r="C43" s="81">
        <f aca="true" t="shared" si="23" ref="C43:H43">SUM(C41:C42)</f>
        <v>387185351.212314</v>
      </c>
      <c r="D43" s="81">
        <f t="shared" si="23"/>
        <v>134123359.00416464</v>
      </c>
      <c r="E43" s="81">
        <f t="shared" si="23"/>
        <v>22408944.512973424</v>
      </c>
      <c r="F43" s="81">
        <f t="shared" si="23"/>
        <v>118476399.35150826</v>
      </c>
      <c r="G43" s="81">
        <f t="shared" si="23"/>
        <v>64487509.83924395</v>
      </c>
      <c r="H43" s="81">
        <f t="shared" si="23"/>
        <v>140168157.373613</v>
      </c>
      <c r="I43" s="81">
        <f>SUM(I41:I42)</f>
        <v>1244211971.4445076</v>
      </c>
      <c r="J43" s="300"/>
    </row>
    <row r="44" ht="12.75" hidden="1" outlineLevel="1">
      <c r="A44" s="1" t="s">
        <v>333</v>
      </c>
    </row>
    <row r="45" spans="1:9" ht="12.75" hidden="1" outlineLevel="2">
      <c r="A45" s="144" t="s">
        <v>348</v>
      </c>
      <c r="B45" s="154">
        <f aca="true" t="shared" si="24" ref="B45:H45">$B$129</f>
        <v>5.940650000000001</v>
      </c>
      <c r="C45" s="154">
        <f t="shared" si="24"/>
        <v>5.940650000000001</v>
      </c>
      <c r="D45" s="154">
        <f t="shared" si="24"/>
        <v>5.940650000000001</v>
      </c>
      <c r="E45" s="154">
        <f t="shared" si="24"/>
        <v>5.940650000000001</v>
      </c>
      <c r="F45" s="154">
        <f t="shared" si="24"/>
        <v>5.940650000000001</v>
      </c>
      <c r="G45" s="154">
        <f t="shared" si="24"/>
        <v>5.940650000000001</v>
      </c>
      <c r="H45" s="154">
        <f t="shared" si="24"/>
        <v>5.940650000000001</v>
      </c>
      <c r="I45" s="133" t="s">
        <v>13</v>
      </c>
    </row>
    <row r="46" spans="1:9" ht="12.75" hidden="1" outlineLevel="2">
      <c r="A46" s="9" t="s">
        <v>349</v>
      </c>
      <c r="B46" s="154">
        <f>$B$5/($B$5+$B$6)</f>
        <v>0.8571428571428571</v>
      </c>
      <c r="C46" s="154">
        <f aca="true" t="shared" si="25" ref="C46:H46">C5/(C5+C6)</f>
        <v>0.375</v>
      </c>
      <c r="D46" s="154">
        <f t="shared" si="25"/>
        <v>0.2222222222222222</v>
      </c>
      <c r="E46" s="154">
        <f t="shared" si="25"/>
        <v>0.1</v>
      </c>
      <c r="F46" s="154">
        <f t="shared" si="25"/>
        <v>0.4444444444444444</v>
      </c>
      <c r="G46" s="154">
        <f t="shared" si="25"/>
        <v>1</v>
      </c>
      <c r="H46" s="154">
        <f t="shared" si="25"/>
        <v>0.6666666666666666</v>
      </c>
      <c r="I46" s="130" t="s">
        <v>13</v>
      </c>
    </row>
    <row r="47" spans="1:9" ht="12.75" hidden="1" outlineLevel="2">
      <c r="A47" s="9" t="s">
        <v>316</v>
      </c>
      <c r="B47" s="128">
        <v>0.22635730836405768</v>
      </c>
      <c r="C47" s="128">
        <v>0.35675822743064</v>
      </c>
      <c r="D47" s="128">
        <v>0.13408779195059684</v>
      </c>
      <c r="E47" s="128">
        <v>0.020443804172263567</v>
      </c>
      <c r="F47" s="128">
        <v>0.11555607959464363</v>
      </c>
      <c r="G47" s="128">
        <v>0.013338705296900101</v>
      </c>
      <c r="H47" s="128">
        <v>0.1334580831908982</v>
      </c>
      <c r="I47" s="147">
        <f>SUM(B47:H47)</f>
        <v>1</v>
      </c>
    </row>
    <row r="48" spans="1:10" ht="12.75" hidden="1" outlineLevel="2">
      <c r="A48" s="129" t="s">
        <v>147</v>
      </c>
      <c r="B48" s="81">
        <f>B47*$I$48</f>
        <v>94843.71220454016</v>
      </c>
      <c r="C48" s="81">
        <f aca="true" t="shared" si="26" ref="C48:H48">C47*$I$48</f>
        <v>149481.69729343816</v>
      </c>
      <c r="D48" s="81">
        <f t="shared" si="26"/>
        <v>56182.78482730007</v>
      </c>
      <c r="E48" s="81">
        <f t="shared" si="26"/>
        <v>8565.953948178434</v>
      </c>
      <c r="F48" s="81">
        <f t="shared" si="26"/>
        <v>48417.99735015568</v>
      </c>
      <c r="G48" s="81">
        <f t="shared" si="26"/>
        <v>5588.917519401142</v>
      </c>
      <c r="H48" s="81">
        <f t="shared" si="26"/>
        <v>55918.93685698634</v>
      </c>
      <c r="I48" s="130">
        <f>E112*E113</f>
        <v>419000</v>
      </c>
      <c r="J48" s="32"/>
    </row>
    <row r="49" spans="1:9" ht="12.75" hidden="1" outlineLevel="2">
      <c r="A49" s="9" t="s">
        <v>331</v>
      </c>
      <c r="B49" s="81">
        <f>B48*B45*365</f>
        <v>205653154.1013841</v>
      </c>
      <c r="C49" s="81">
        <f aca="true" t="shared" si="27" ref="C49:H49">C48*C45*365</f>
        <v>324126732.43458617</v>
      </c>
      <c r="D49" s="81">
        <f t="shared" si="27"/>
        <v>121823225.14976957</v>
      </c>
      <c r="E49" s="81">
        <f t="shared" si="27"/>
        <v>18573877.027619872</v>
      </c>
      <c r="F49" s="81">
        <f t="shared" si="27"/>
        <v>104986547.22474387</v>
      </c>
      <c r="G49" s="81">
        <f t="shared" si="27"/>
        <v>12118658.044495096</v>
      </c>
      <c r="H49" s="81">
        <f t="shared" si="27"/>
        <v>121251113.76740143</v>
      </c>
      <c r="I49" s="81">
        <f>SUM(B49:H49)</f>
        <v>908533307.7500001</v>
      </c>
    </row>
    <row r="50" spans="1:10" ht="12.75" collapsed="1">
      <c r="A50" s="103" t="s">
        <v>357</v>
      </c>
      <c r="B50" s="81">
        <f>$E$111/($E$109*B46+$E$110*(1-B46))*B49</f>
        <v>1167220604.359207</v>
      </c>
      <c r="C50" s="81">
        <f aca="true" t="shared" si="28" ref="C50:H50">$E$111/($E$109*C46+$E$110*(1-C46))*C49</f>
        <v>1744179726.1053963</v>
      </c>
      <c r="D50" s="81">
        <f t="shared" si="28"/>
        <v>644946486.0870155</v>
      </c>
      <c r="E50" s="81">
        <f t="shared" si="28"/>
        <v>97076012.33947667</v>
      </c>
      <c r="F50" s="81">
        <f t="shared" si="28"/>
        <v>569204171.7004186</v>
      </c>
      <c r="G50" s="81">
        <f t="shared" si="28"/>
        <v>69915334.87208709</v>
      </c>
      <c r="H50" s="81">
        <f t="shared" si="28"/>
        <v>673617298.7077857</v>
      </c>
      <c r="I50" s="81">
        <f>SUM(B50:H50)</f>
        <v>4966159634.171387</v>
      </c>
      <c r="J50" s="86">
        <f>I43+I50</f>
        <v>6210371605.615894</v>
      </c>
    </row>
    <row r="51" spans="1:10" ht="12.75" hidden="1" outlineLevel="1">
      <c r="A51" s="238" t="s">
        <v>489</v>
      </c>
      <c r="B51" s="86"/>
      <c r="C51" s="86"/>
      <c r="D51" s="86"/>
      <c r="E51" s="86"/>
      <c r="F51" s="86"/>
      <c r="G51" s="86"/>
      <c r="H51" s="86"/>
      <c r="I51" s="86"/>
      <c r="J51" s="86"/>
    </row>
    <row r="52" spans="1:10" ht="12.75" hidden="1" outlineLevel="1">
      <c r="A52" s="144" t="s">
        <v>348</v>
      </c>
      <c r="B52" s="201">
        <f aca="true" t="shared" si="29" ref="B52:H52">$B$129</f>
        <v>5.940650000000001</v>
      </c>
      <c r="C52" s="201">
        <f t="shared" si="29"/>
        <v>5.940650000000001</v>
      </c>
      <c r="D52" s="201">
        <f t="shared" si="29"/>
        <v>5.940650000000001</v>
      </c>
      <c r="E52" s="201">
        <f t="shared" si="29"/>
        <v>5.940650000000001</v>
      </c>
      <c r="F52" s="201">
        <f t="shared" si="29"/>
        <v>5.940650000000001</v>
      </c>
      <c r="G52" s="201">
        <f t="shared" si="29"/>
        <v>5.940650000000001</v>
      </c>
      <c r="H52" s="201">
        <f t="shared" si="29"/>
        <v>5.940650000000001</v>
      </c>
      <c r="I52" s="133" t="s">
        <v>13</v>
      </c>
      <c r="J52" s="86"/>
    </row>
    <row r="53" spans="1:10" ht="12.75" hidden="1" outlineLevel="1">
      <c r="A53" s="9" t="s">
        <v>349</v>
      </c>
      <c r="B53" s="154">
        <f>B5/(B5+B6)</f>
        <v>0.8571428571428571</v>
      </c>
      <c r="C53" s="154">
        <f aca="true" t="shared" si="30" ref="C53:H53">C5/(C5+C6)</f>
        <v>0.375</v>
      </c>
      <c r="D53" s="154">
        <f t="shared" si="30"/>
        <v>0.2222222222222222</v>
      </c>
      <c r="E53" s="154">
        <f t="shared" si="30"/>
        <v>0.1</v>
      </c>
      <c r="F53" s="154">
        <f t="shared" si="30"/>
        <v>0.4444444444444444</v>
      </c>
      <c r="G53" s="154">
        <f t="shared" si="30"/>
        <v>1</v>
      </c>
      <c r="H53" s="154">
        <f t="shared" si="30"/>
        <v>0.6666666666666666</v>
      </c>
      <c r="I53" s="130" t="s">
        <v>13</v>
      </c>
      <c r="J53" s="86"/>
    </row>
    <row r="54" spans="1:10" ht="12.75" hidden="1" outlineLevel="1">
      <c r="A54" s="9" t="s">
        <v>316</v>
      </c>
      <c r="B54" s="128">
        <v>0.22635730836405768</v>
      </c>
      <c r="C54" s="128">
        <v>0.35675822743064</v>
      </c>
      <c r="D54" s="128">
        <v>0.13408779195059684</v>
      </c>
      <c r="E54" s="128">
        <v>0.020443804172263567</v>
      </c>
      <c r="F54" s="128">
        <v>0.11555607959464363</v>
      </c>
      <c r="G54" s="128">
        <v>0.013338705296900101</v>
      </c>
      <c r="H54" s="128">
        <v>0.1334580831908982</v>
      </c>
      <c r="I54" s="147">
        <f>SUM(B54:H54)</f>
        <v>1</v>
      </c>
      <c r="J54" s="86"/>
    </row>
    <row r="55" spans="1:10" ht="12.75" hidden="1" outlineLevel="1">
      <c r="A55" s="129" t="s">
        <v>147</v>
      </c>
      <c r="B55" s="81">
        <f>B54*$I$55</f>
        <v>2240.937352804171</v>
      </c>
      <c r="C55" s="81">
        <f aca="true" t="shared" si="31" ref="C55:H55">C54*$I$55</f>
        <v>3531.906451563336</v>
      </c>
      <c r="D55" s="81">
        <f t="shared" si="31"/>
        <v>1327.4691403109086</v>
      </c>
      <c r="E55" s="81">
        <f t="shared" si="31"/>
        <v>202.39366130540932</v>
      </c>
      <c r="F55" s="81">
        <f t="shared" si="31"/>
        <v>1144.005187986972</v>
      </c>
      <c r="G55" s="81">
        <f t="shared" si="31"/>
        <v>132.053182439311</v>
      </c>
      <c r="H55" s="81">
        <f t="shared" si="31"/>
        <v>1321.235023589892</v>
      </c>
      <c r="I55" s="81">
        <f>F112</f>
        <v>9900</v>
      </c>
      <c r="J55" s="86"/>
    </row>
    <row r="56" spans="1:10" ht="12.75" hidden="1" outlineLevel="1">
      <c r="A56" s="9" t="s">
        <v>331</v>
      </c>
      <c r="B56" s="81">
        <f>B55*B52*365</f>
        <v>4859107.937001677</v>
      </c>
      <c r="C56" s="81">
        <f aca="true" t="shared" si="32" ref="C56:H56">C55*C52*365</f>
        <v>7658364.322440104</v>
      </c>
      <c r="D56" s="81">
        <f t="shared" si="32"/>
        <v>2878400.78516162</v>
      </c>
      <c r="E56" s="81">
        <f t="shared" si="32"/>
        <v>438857.7149724027</v>
      </c>
      <c r="F56" s="81">
        <f t="shared" si="32"/>
        <v>2480589.063305404</v>
      </c>
      <c r="G56" s="81">
        <f t="shared" si="32"/>
        <v>286335.8344642039</v>
      </c>
      <c r="H56" s="81">
        <f t="shared" si="32"/>
        <v>2864883.117654592</v>
      </c>
      <c r="I56" s="81">
        <f>SUM(B56:H56)</f>
        <v>21466538.775000002</v>
      </c>
      <c r="J56" s="86"/>
    </row>
    <row r="57" spans="1:10" ht="12.75" collapsed="1">
      <c r="A57" s="103" t="s">
        <v>488</v>
      </c>
      <c r="B57" s="81">
        <f>$F$111/$F$109*B56</f>
        <v>56066630.04232705</v>
      </c>
      <c r="C57" s="81">
        <f aca="true" t="shared" si="33" ref="C57:H57">$F$111/$F$109*C56</f>
        <v>88365742.18200119</v>
      </c>
      <c r="D57" s="81">
        <f t="shared" si="33"/>
        <v>33212316.751864847</v>
      </c>
      <c r="E57" s="81">
        <f t="shared" si="33"/>
        <v>5063742.865066186</v>
      </c>
      <c r="F57" s="81">
        <f t="shared" si="33"/>
        <v>28622181.49967774</v>
      </c>
      <c r="G57" s="81">
        <f t="shared" si="33"/>
        <v>3303875.013048507</v>
      </c>
      <c r="H57" s="81">
        <f t="shared" si="33"/>
        <v>33056343.66524529</v>
      </c>
      <c r="I57" s="81">
        <f>SUM(B57:H57)</f>
        <v>247690832.01923078</v>
      </c>
      <c r="J57" s="86"/>
    </row>
    <row r="58" ht="12.75" hidden="1" outlineLevel="1">
      <c r="A58" s="1" t="s">
        <v>174</v>
      </c>
    </row>
    <row r="59" spans="1:9" ht="12.75" hidden="1" outlineLevel="1">
      <c r="A59" s="144" t="s">
        <v>348</v>
      </c>
      <c r="B59" s="154">
        <f aca="true" t="shared" si="34" ref="B59:H59">$B$129</f>
        <v>5.940650000000001</v>
      </c>
      <c r="C59" s="154">
        <f t="shared" si="34"/>
        <v>5.940650000000001</v>
      </c>
      <c r="D59" s="154">
        <f t="shared" si="34"/>
        <v>5.940650000000001</v>
      </c>
      <c r="E59" s="154">
        <f t="shared" si="34"/>
        <v>5.940650000000001</v>
      </c>
      <c r="F59" s="154">
        <f t="shared" si="34"/>
        <v>5.940650000000001</v>
      </c>
      <c r="G59" s="154">
        <f t="shared" si="34"/>
        <v>5.940650000000001</v>
      </c>
      <c r="H59" s="154">
        <f t="shared" si="34"/>
        <v>5.940650000000001</v>
      </c>
      <c r="I59" s="133" t="s">
        <v>13</v>
      </c>
    </row>
    <row r="60" spans="1:9" ht="12.75" hidden="1" outlineLevel="1">
      <c r="A60" s="9" t="s">
        <v>350</v>
      </c>
      <c r="B60" s="154">
        <f>B5/(B5+B6)</f>
        <v>0.8571428571428571</v>
      </c>
      <c r="C60" s="154">
        <f aca="true" t="shared" si="35" ref="C60:H60">C5/(C5+C6)</f>
        <v>0.375</v>
      </c>
      <c r="D60" s="154">
        <f t="shared" si="35"/>
        <v>0.2222222222222222</v>
      </c>
      <c r="E60" s="154">
        <f t="shared" si="35"/>
        <v>0.1</v>
      </c>
      <c r="F60" s="154">
        <f t="shared" si="35"/>
        <v>0.4444444444444444</v>
      </c>
      <c r="G60" s="154">
        <f t="shared" si="35"/>
        <v>1</v>
      </c>
      <c r="H60" s="154">
        <f t="shared" si="35"/>
        <v>0.6666666666666666</v>
      </c>
      <c r="I60" s="133" t="s">
        <v>13</v>
      </c>
    </row>
    <row r="61" spans="1:9" ht="12.75" hidden="1" outlineLevel="1">
      <c r="A61" s="9" t="s">
        <v>316</v>
      </c>
      <c r="B61" s="128">
        <v>0.23296459242892648</v>
      </c>
      <c r="C61" s="128">
        <v>0.2167723795302044</v>
      </c>
      <c r="D61" s="128">
        <v>0.32096313670231297</v>
      </c>
      <c r="E61" s="128">
        <v>0.005501403273830724</v>
      </c>
      <c r="F61" s="128">
        <v>0.07654055118161227</v>
      </c>
      <c r="G61" s="128">
        <v>0.02198527954742962</v>
      </c>
      <c r="H61" s="128">
        <v>0.12527265733568355</v>
      </c>
      <c r="I61" s="131">
        <f>SUM(B61:H61)</f>
        <v>1</v>
      </c>
    </row>
    <row r="62" spans="1:10" ht="12.75" hidden="1" outlineLevel="1">
      <c r="A62" s="129" t="s">
        <v>147</v>
      </c>
      <c r="B62" s="81">
        <f>B61*$I$62</f>
        <v>15934.77812213857</v>
      </c>
      <c r="C62" s="81">
        <f aca="true" t="shared" si="36" ref="C62:H62">C61*$I$62</f>
        <v>14827.23075986598</v>
      </c>
      <c r="D62" s="81">
        <f t="shared" si="36"/>
        <v>21953.878550438207</v>
      </c>
      <c r="E62" s="81">
        <f t="shared" si="36"/>
        <v>376.2959839300215</v>
      </c>
      <c r="F62" s="81">
        <f t="shared" si="36"/>
        <v>5235.373700822279</v>
      </c>
      <c r="G62" s="81">
        <f t="shared" si="36"/>
        <v>1503.793121044186</v>
      </c>
      <c r="H62" s="81">
        <f t="shared" si="36"/>
        <v>8568.649761760755</v>
      </c>
      <c r="I62" s="130">
        <f>H112</f>
        <v>68400</v>
      </c>
      <c r="J62" s="32"/>
    </row>
    <row r="63" spans="1:9" ht="12.75" hidden="1" outlineLevel="1">
      <c r="A63" s="9" t="s">
        <v>331</v>
      </c>
      <c r="B63" s="81">
        <f>B62*B59*365</f>
        <v>34551972.97271811</v>
      </c>
      <c r="C63" s="81">
        <f aca="true" t="shared" si="37" ref="C63:H63">C62*C59*365</f>
        <v>32150436.770963214</v>
      </c>
      <c r="D63" s="81">
        <f t="shared" si="37"/>
        <v>47603412.642891176</v>
      </c>
      <c r="E63" s="81">
        <f t="shared" si="37"/>
        <v>815936.5989808672</v>
      </c>
      <c r="F63" s="81">
        <f t="shared" si="37"/>
        <v>11352055.813163305</v>
      </c>
      <c r="G63" s="81">
        <f t="shared" si="37"/>
        <v>3260730.6406538673</v>
      </c>
      <c r="H63" s="81">
        <f t="shared" si="37"/>
        <v>18579722.46062947</v>
      </c>
      <c r="I63" s="130">
        <f>SUM(B63:H63)</f>
        <v>148314267.90000004</v>
      </c>
    </row>
    <row r="64" spans="1:9" ht="12.75" collapsed="1">
      <c r="A64" s="103" t="s">
        <v>356</v>
      </c>
      <c r="B64" s="81">
        <f>$H$111/($H$109*B60+$H$110*(1-B60))*B63</f>
        <v>622309048.3518742</v>
      </c>
      <c r="C64" s="81">
        <f aca="true" t="shared" si="38" ref="C64:H64">$H$111/($H$109*C60+$H$110*(1-C60))*C63</f>
        <v>549008355.2638023</v>
      </c>
      <c r="D64" s="81">
        <f t="shared" si="38"/>
        <v>799737332.4005718</v>
      </c>
      <c r="E64" s="81">
        <f t="shared" si="38"/>
        <v>13532607.007487554</v>
      </c>
      <c r="F64" s="81">
        <f t="shared" si="38"/>
        <v>195310068.6891229</v>
      </c>
      <c r="G64" s="81">
        <f t="shared" si="38"/>
        <v>59696453.26735541</v>
      </c>
      <c r="H64" s="81">
        <f t="shared" si="38"/>
        <v>327553625.60220844</v>
      </c>
      <c r="I64" s="130">
        <f>SUM(B64:H64)</f>
        <v>2567147490.5824227</v>
      </c>
    </row>
    <row r="65" ht="12.75" hidden="1" outlineLevel="1">
      <c r="A65" s="1" t="s">
        <v>330</v>
      </c>
    </row>
    <row r="66" spans="1:9" ht="12.75" hidden="1" outlineLevel="1">
      <c r="A66" s="144" t="s">
        <v>348</v>
      </c>
      <c r="B66" s="133">
        <v>13</v>
      </c>
      <c r="C66" s="133">
        <v>13</v>
      </c>
      <c r="D66" s="133">
        <v>13</v>
      </c>
      <c r="E66" s="133">
        <v>13</v>
      </c>
      <c r="F66" s="133">
        <v>13</v>
      </c>
      <c r="G66" s="133">
        <v>13</v>
      </c>
      <c r="H66" s="133">
        <v>13</v>
      </c>
      <c r="I66" s="133" t="s">
        <v>13</v>
      </c>
    </row>
    <row r="67" spans="1:9" ht="12.75" hidden="1" outlineLevel="1">
      <c r="A67" s="9" t="s">
        <v>316</v>
      </c>
      <c r="B67" s="128">
        <v>0.194</v>
      </c>
      <c r="C67" s="128">
        <v>0.35</v>
      </c>
      <c r="D67" s="128">
        <v>0.247</v>
      </c>
      <c r="E67" s="128">
        <v>0.024</v>
      </c>
      <c r="F67" s="128">
        <v>0.076</v>
      </c>
      <c r="G67" s="128">
        <v>0.01</v>
      </c>
      <c r="H67" s="128">
        <v>0.099</v>
      </c>
      <c r="I67" s="147">
        <f>SUM(B67:H67)</f>
        <v>1</v>
      </c>
    </row>
    <row r="68" spans="1:10" ht="12.75" hidden="1" outlineLevel="1">
      <c r="A68" s="129" t="s">
        <v>147</v>
      </c>
      <c r="B68" s="81">
        <f>B67*$I$68</f>
        <v>2619</v>
      </c>
      <c r="C68" s="81">
        <f aca="true" t="shared" si="39" ref="C68:H68">C67*$I$68</f>
        <v>4725</v>
      </c>
      <c r="D68" s="81">
        <f t="shared" si="39"/>
        <v>3334.5</v>
      </c>
      <c r="E68" s="81">
        <f t="shared" si="39"/>
        <v>324</v>
      </c>
      <c r="F68" s="81">
        <f t="shared" si="39"/>
        <v>1026</v>
      </c>
      <c r="G68" s="81">
        <f t="shared" si="39"/>
        <v>135</v>
      </c>
      <c r="H68" s="81">
        <f t="shared" si="39"/>
        <v>1336.5</v>
      </c>
      <c r="I68" s="130">
        <f>G112</f>
        <v>13500</v>
      </c>
      <c r="J68" s="32"/>
    </row>
    <row r="69" spans="1:9" ht="12.75" hidden="1" outlineLevel="1">
      <c r="A69" s="9" t="s">
        <v>331</v>
      </c>
      <c r="B69" s="81">
        <f>B68*B66*365</f>
        <v>12427155</v>
      </c>
      <c r="C69" s="81">
        <f aca="true" t="shared" si="40" ref="C69:H69">C68*C66*365</f>
        <v>22420125</v>
      </c>
      <c r="D69" s="81">
        <f t="shared" si="40"/>
        <v>15822202.5</v>
      </c>
      <c r="E69" s="81">
        <f t="shared" si="40"/>
        <v>1537380</v>
      </c>
      <c r="F69" s="81">
        <f t="shared" si="40"/>
        <v>4868370</v>
      </c>
      <c r="G69" s="81">
        <f t="shared" si="40"/>
        <v>640575</v>
      </c>
      <c r="H69" s="81">
        <f t="shared" si="40"/>
        <v>6341692.5</v>
      </c>
      <c r="I69" s="130">
        <f>SUM(B69:H69)</f>
        <v>64057500</v>
      </c>
    </row>
    <row r="70" spans="1:9" ht="12.75" collapsed="1">
      <c r="A70" s="155" t="s">
        <v>358</v>
      </c>
      <c r="B70" s="81">
        <f>$G$111/$G$109*B69</f>
        <v>215085375</v>
      </c>
      <c r="C70" s="81">
        <f aca="true" t="shared" si="41" ref="C70:H70">$G$111/$G$109*C69</f>
        <v>388040625</v>
      </c>
      <c r="D70" s="81">
        <f t="shared" si="41"/>
        <v>273845812.5</v>
      </c>
      <c r="E70" s="81">
        <f t="shared" si="41"/>
        <v>26608500</v>
      </c>
      <c r="F70" s="81">
        <f t="shared" si="41"/>
        <v>84260250</v>
      </c>
      <c r="G70" s="81">
        <f>$G$111/$G$109*G69</f>
        <v>11086875</v>
      </c>
      <c r="H70" s="81">
        <f t="shared" si="41"/>
        <v>109760062.5</v>
      </c>
      <c r="I70" s="81">
        <f>SUM(B70:H70)</f>
        <v>1108687500</v>
      </c>
    </row>
    <row r="71" spans="1:9" ht="12.75" hidden="1" outlineLevel="1">
      <c r="A71" s="25" t="s">
        <v>615</v>
      </c>
      <c r="B71" s="230"/>
      <c r="C71" s="230"/>
      <c r="D71" s="230"/>
      <c r="E71" s="230"/>
      <c r="F71" s="230"/>
      <c r="G71" s="230"/>
      <c r="H71" s="230"/>
      <c r="I71" s="231"/>
    </row>
    <row r="72" spans="1:9" ht="12.75" hidden="1" outlineLevel="1">
      <c r="A72" s="232" t="s">
        <v>348</v>
      </c>
      <c r="B72" s="233">
        <f>$B$129</f>
        <v>5.940650000000001</v>
      </c>
      <c r="C72" s="233">
        <f aca="true" t="shared" si="42" ref="C72:H72">$B$129</f>
        <v>5.940650000000001</v>
      </c>
      <c r="D72" s="233">
        <f t="shared" si="42"/>
        <v>5.940650000000001</v>
      </c>
      <c r="E72" s="233">
        <f t="shared" si="42"/>
        <v>5.940650000000001</v>
      </c>
      <c r="F72" s="233">
        <f t="shared" si="42"/>
        <v>5.940650000000001</v>
      </c>
      <c r="G72" s="233">
        <f t="shared" si="42"/>
        <v>5.940650000000001</v>
      </c>
      <c r="H72" s="233">
        <f t="shared" si="42"/>
        <v>5.940650000000001</v>
      </c>
      <c r="I72" s="234" t="s">
        <v>13</v>
      </c>
    </row>
    <row r="73" spans="1:9" ht="12.75" hidden="1" outlineLevel="1">
      <c r="A73" s="76" t="s">
        <v>316</v>
      </c>
      <c r="B73" s="235">
        <v>0.194</v>
      </c>
      <c r="C73" s="235">
        <v>0.35</v>
      </c>
      <c r="D73" s="235">
        <v>0.247</v>
      </c>
      <c r="E73" s="235">
        <v>0.024</v>
      </c>
      <c r="F73" s="235">
        <v>0.076</v>
      </c>
      <c r="G73" s="235">
        <v>0.01</v>
      </c>
      <c r="H73" s="235">
        <v>0.099</v>
      </c>
      <c r="I73" s="236">
        <f>SUM(B73:H73)</f>
        <v>1</v>
      </c>
    </row>
    <row r="74" spans="1:10" ht="12.75" hidden="1" outlineLevel="1">
      <c r="A74" s="202" t="s">
        <v>147</v>
      </c>
      <c r="B74" s="77">
        <f>B73*$I$74</f>
        <v>562.6</v>
      </c>
      <c r="C74" s="77">
        <f aca="true" t="shared" si="43" ref="C74:H74">C73*$I$74</f>
        <v>1014.9999999999999</v>
      </c>
      <c r="D74" s="77">
        <f t="shared" si="43"/>
        <v>716.3</v>
      </c>
      <c r="E74" s="77">
        <f t="shared" si="43"/>
        <v>69.60000000000001</v>
      </c>
      <c r="F74" s="77">
        <f t="shared" si="43"/>
        <v>220.4</v>
      </c>
      <c r="G74" s="77">
        <f t="shared" si="43"/>
        <v>29</v>
      </c>
      <c r="H74" s="77">
        <f t="shared" si="43"/>
        <v>287.1</v>
      </c>
      <c r="I74" s="231">
        <f>I112</f>
        <v>2900</v>
      </c>
      <c r="J74" s="32"/>
    </row>
    <row r="75" spans="1:9" ht="12.75" hidden="1" outlineLevel="1">
      <c r="A75" s="76" t="s">
        <v>331</v>
      </c>
      <c r="B75" s="77">
        <f>B74*B72*365</f>
        <v>1219906.5368500003</v>
      </c>
      <c r="C75" s="77">
        <f aca="true" t="shared" si="44" ref="C75:H75">C74*C72*365</f>
        <v>2200862.30875</v>
      </c>
      <c r="D75" s="77">
        <f t="shared" si="44"/>
        <v>1553179.972175</v>
      </c>
      <c r="E75" s="77">
        <f t="shared" si="44"/>
        <v>150916.27260000003</v>
      </c>
      <c r="F75" s="77">
        <f t="shared" si="44"/>
        <v>477901.5299000001</v>
      </c>
      <c r="G75" s="77">
        <f t="shared" si="44"/>
        <v>62881.78025</v>
      </c>
      <c r="H75" s="77">
        <f t="shared" si="44"/>
        <v>622529.6244750001</v>
      </c>
      <c r="I75" s="237">
        <f>SUM(B75:H75)</f>
        <v>6288178.025</v>
      </c>
    </row>
    <row r="76" spans="1:9" ht="12.75" hidden="1" outlineLevel="1">
      <c r="A76" s="298" t="s">
        <v>615</v>
      </c>
      <c r="B76" s="77">
        <f>$I$111/$I$110*B75</f>
        <v>121631857.64475003</v>
      </c>
      <c r="C76" s="77">
        <f aca="true" t="shared" si="45" ref="C76:H76">$I$111/$I$110*C75</f>
        <v>219438918.43124998</v>
      </c>
      <c r="D76" s="77">
        <f t="shared" si="45"/>
        <v>154861179.578625</v>
      </c>
      <c r="E76" s="77">
        <f t="shared" si="45"/>
        <v>15047240.121000003</v>
      </c>
      <c r="F76" s="77">
        <f t="shared" si="45"/>
        <v>47649593.71650001</v>
      </c>
      <c r="G76" s="77">
        <f t="shared" si="45"/>
        <v>6269683.38375</v>
      </c>
      <c r="H76" s="77">
        <f t="shared" si="45"/>
        <v>62069865.499125004</v>
      </c>
      <c r="I76" s="237">
        <f>SUM(B76:H76)</f>
        <v>626968338.3749999</v>
      </c>
    </row>
    <row r="77" spans="1:9" ht="12.75" hidden="1" outlineLevel="1">
      <c r="A77" s="25" t="s">
        <v>616</v>
      </c>
      <c r="B77" s="230"/>
      <c r="C77" s="230"/>
      <c r="D77" s="230"/>
      <c r="E77" s="230"/>
      <c r="F77" s="230"/>
      <c r="G77" s="230"/>
      <c r="H77" s="230"/>
      <c r="I77" s="231"/>
    </row>
    <row r="78" spans="1:9" ht="12.75" hidden="1" outlineLevel="1">
      <c r="A78" s="232" t="s">
        <v>348</v>
      </c>
      <c r="B78" s="233">
        <f>$B$129</f>
        <v>5.940650000000001</v>
      </c>
      <c r="C78" s="233">
        <f aca="true" t="shared" si="46" ref="C78:H78">$B$129</f>
        <v>5.940650000000001</v>
      </c>
      <c r="D78" s="233">
        <f t="shared" si="46"/>
        <v>5.940650000000001</v>
      </c>
      <c r="E78" s="233">
        <f t="shared" si="46"/>
        <v>5.940650000000001</v>
      </c>
      <c r="F78" s="233">
        <f t="shared" si="46"/>
        <v>5.940650000000001</v>
      </c>
      <c r="G78" s="233">
        <f t="shared" si="46"/>
        <v>5.940650000000001</v>
      </c>
      <c r="H78" s="233">
        <f t="shared" si="46"/>
        <v>5.940650000000001</v>
      </c>
      <c r="I78" s="234" t="s">
        <v>13</v>
      </c>
    </row>
    <row r="79" spans="1:9" ht="12.75" hidden="1" outlineLevel="1">
      <c r="A79" s="76" t="s">
        <v>316</v>
      </c>
      <c r="B79" s="235">
        <v>0.194</v>
      </c>
      <c r="C79" s="235">
        <v>0.35</v>
      </c>
      <c r="D79" s="235">
        <v>0.247</v>
      </c>
      <c r="E79" s="235">
        <v>0.024</v>
      </c>
      <c r="F79" s="235">
        <v>0.076</v>
      </c>
      <c r="G79" s="235">
        <v>0.01</v>
      </c>
      <c r="H79" s="235">
        <v>0.099</v>
      </c>
      <c r="I79" s="236">
        <f>SUM(B79:H79)</f>
        <v>1</v>
      </c>
    </row>
    <row r="80" spans="1:10" ht="12.75" hidden="1" outlineLevel="1">
      <c r="A80" s="202" t="s">
        <v>147</v>
      </c>
      <c r="B80" s="77">
        <f>B79*$I$80</f>
        <v>1348.3</v>
      </c>
      <c r="C80" s="77">
        <f aca="true" t="shared" si="47" ref="C80:H80">C79*$I$80</f>
        <v>2432.5</v>
      </c>
      <c r="D80" s="77">
        <f t="shared" si="47"/>
        <v>1716.65</v>
      </c>
      <c r="E80" s="77">
        <f t="shared" si="47"/>
        <v>166.8</v>
      </c>
      <c r="F80" s="77">
        <f t="shared" si="47"/>
        <v>528.1999999999999</v>
      </c>
      <c r="G80" s="77">
        <f t="shared" si="47"/>
        <v>69.5</v>
      </c>
      <c r="H80" s="77">
        <f t="shared" si="47"/>
        <v>688.0500000000001</v>
      </c>
      <c r="I80" s="237">
        <f>J112</f>
        <v>6950</v>
      </c>
      <c r="J80" s="32"/>
    </row>
    <row r="81" spans="1:9" ht="12.75" hidden="1" outlineLevel="1">
      <c r="A81" s="76" t="s">
        <v>331</v>
      </c>
      <c r="B81" s="77">
        <f>B80*B78*365</f>
        <v>2923569.114175</v>
      </c>
      <c r="C81" s="77">
        <f aca="true" t="shared" si="48" ref="C81:H81">C80*C78*365</f>
        <v>5274480.360625001</v>
      </c>
      <c r="D81" s="77">
        <f t="shared" si="48"/>
        <v>3722276.1402125005</v>
      </c>
      <c r="E81" s="77">
        <f t="shared" si="48"/>
        <v>361678.65330000006</v>
      </c>
      <c r="F81" s="77">
        <f t="shared" si="48"/>
        <v>1145315.73545</v>
      </c>
      <c r="G81" s="77">
        <f t="shared" si="48"/>
        <v>150699.43887500002</v>
      </c>
      <c r="H81" s="77">
        <f t="shared" si="48"/>
        <v>1491924.4448625003</v>
      </c>
      <c r="I81" s="237">
        <f>SUM(B81:H81)</f>
        <v>15069943.887500001</v>
      </c>
    </row>
    <row r="82" spans="1:9" ht="12.75" hidden="1" outlineLevel="1">
      <c r="A82" s="25" t="s">
        <v>616</v>
      </c>
      <c r="B82" s="77">
        <f>$J$111/$J$110*B81</f>
        <v>804750866.6913291</v>
      </c>
      <c r="C82" s="77">
        <f aca="true" t="shared" si="49" ref="C82:H82">$J$111/$J$110*C81</f>
        <v>1451870120.3194082</v>
      </c>
      <c r="D82" s="77">
        <f t="shared" si="49"/>
        <v>1024605484.9111253</v>
      </c>
      <c r="E82" s="77">
        <f t="shared" si="49"/>
        <v>99556808.25047371</v>
      </c>
      <c r="F82" s="77">
        <f t="shared" si="49"/>
        <v>315263226.12650007</v>
      </c>
      <c r="G82" s="77">
        <f t="shared" si="49"/>
        <v>41482003.43769738</v>
      </c>
      <c r="H82" s="77">
        <f t="shared" si="49"/>
        <v>410671834.0332041</v>
      </c>
      <c r="I82" s="77">
        <f>SUM(B82:H82)</f>
        <v>4148200343.7697377</v>
      </c>
    </row>
    <row r="83" spans="1:10" ht="12.75" collapsed="1">
      <c r="A83" s="155" t="s">
        <v>359</v>
      </c>
      <c r="B83" s="77">
        <f>B76+B82</f>
        <v>926382724.3360791</v>
      </c>
      <c r="C83" s="77">
        <f aca="true" t="shared" si="50" ref="C83:H83">C76+C82</f>
        <v>1671309038.750658</v>
      </c>
      <c r="D83" s="77">
        <f t="shared" si="50"/>
        <v>1179466664.4897504</v>
      </c>
      <c r="E83" s="77">
        <f t="shared" si="50"/>
        <v>114604048.37147371</v>
      </c>
      <c r="F83" s="77">
        <f t="shared" si="50"/>
        <v>362912819.84300005</v>
      </c>
      <c r="G83" s="77">
        <f t="shared" si="50"/>
        <v>47751686.82144738</v>
      </c>
      <c r="H83" s="77">
        <f t="shared" si="50"/>
        <v>472741699.5323291</v>
      </c>
      <c r="I83" s="237">
        <f>SUM(B83:H83)</f>
        <v>4775168682.144737</v>
      </c>
      <c r="J83" s="32"/>
    </row>
    <row r="84" spans="1:9" ht="12.75">
      <c r="A84" s="155" t="s">
        <v>364</v>
      </c>
      <c r="B84" s="77">
        <f aca="true" t="shared" si="51" ref="B84:H84">B13+B20+B27+B33+B43+B50+B57+B64+B70+B82</f>
        <v>6147142753.114518</v>
      </c>
      <c r="C84" s="77">
        <f t="shared" si="51"/>
        <v>6467074427.130146</v>
      </c>
      <c r="D84" s="77">
        <f t="shared" si="51"/>
        <v>4126334442.8131948</v>
      </c>
      <c r="E84" s="77">
        <f t="shared" si="51"/>
        <v>374395044.93459034</v>
      </c>
      <c r="F84" s="77">
        <f t="shared" si="51"/>
        <v>1732978378.3373516</v>
      </c>
      <c r="G84" s="77">
        <f t="shared" si="51"/>
        <v>687047883.8285313</v>
      </c>
      <c r="H84" s="77">
        <f t="shared" si="51"/>
        <v>2522848079.9715824</v>
      </c>
      <c r="I84" s="77">
        <f>SUM(B84:H84)</f>
        <v>22057821010.129913</v>
      </c>
    </row>
    <row r="85" spans="1:9" ht="12.75">
      <c r="A85" s="155" t="s">
        <v>365</v>
      </c>
      <c r="B85" s="157">
        <f>B84/$I$84</f>
        <v>0.27868313693775476</v>
      </c>
      <c r="C85" s="157">
        <f aca="true" t="shared" si="52" ref="C85:H85">C84/$I$84</f>
        <v>0.29318736534130835</v>
      </c>
      <c r="D85" s="157">
        <f t="shared" si="52"/>
        <v>0.18706899656671447</v>
      </c>
      <c r="E85" s="157">
        <f t="shared" si="52"/>
        <v>0.016973346767237427</v>
      </c>
      <c r="F85" s="157">
        <f t="shared" si="52"/>
        <v>0.07856525708235153</v>
      </c>
      <c r="G85" s="157">
        <f t="shared" si="52"/>
        <v>0.031147586314759237</v>
      </c>
      <c r="H85" s="157">
        <f t="shared" si="52"/>
        <v>0.11437431098987431</v>
      </c>
      <c r="I85" s="157">
        <f>SUM(B85:H85)</f>
        <v>1</v>
      </c>
    </row>
    <row r="86" spans="2:9" ht="12.75">
      <c r="B86" s="156"/>
      <c r="C86" s="156"/>
      <c r="D86" s="156"/>
      <c r="E86" s="156"/>
      <c r="F86" s="156"/>
      <c r="G86" s="156"/>
      <c r="H86" s="239"/>
      <c r="I86" s="240"/>
    </row>
    <row r="87" spans="2:10" ht="12.75">
      <c r="B87" s="156"/>
      <c r="C87" s="156"/>
      <c r="D87" s="156"/>
      <c r="E87" s="156"/>
      <c r="F87" s="156"/>
      <c r="G87" s="156"/>
      <c r="H87" s="224"/>
      <c r="I87" s="231"/>
      <c r="J87" s="32"/>
    </row>
    <row r="88" spans="1:9" ht="12.75">
      <c r="A88" s="145"/>
      <c r="B88" s="146"/>
      <c r="C88" s="146"/>
      <c r="D88" s="146"/>
      <c r="E88" s="146"/>
      <c r="F88" s="146"/>
      <c r="G88" s="146"/>
      <c r="H88" s="146"/>
      <c r="I88" s="86"/>
    </row>
    <row r="92" ht="15">
      <c r="A92" s="132"/>
    </row>
    <row r="94" ht="15">
      <c r="A94" s="132"/>
    </row>
    <row r="107" ht="12.75">
      <c r="A107" s="1" t="s">
        <v>319</v>
      </c>
    </row>
    <row r="108" spans="1:10" ht="25.5">
      <c r="A108" s="103"/>
      <c r="B108" s="205" t="s">
        <v>360</v>
      </c>
      <c r="C108" s="205" t="s">
        <v>361</v>
      </c>
      <c r="D108" s="205" t="s">
        <v>325</v>
      </c>
      <c r="E108" s="205" t="s">
        <v>362</v>
      </c>
      <c r="F108" s="205" t="s">
        <v>64</v>
      </c>
      <c r="G108" s="205" t="s">
        <v>324</v>
      </c>
      <c r="H108" s="205" t="s">
        <v>174</v>
      </c>
      <c r="I108" s="245" t="s">
        <v>615</v>
      </c>
      <c r="J108" s="245" t="s">
        <v>616</v>
      </c>
    </row>
    <row r="109" spans="1:10" ht="12.75">
      <c r="A109" s="102" t="s">
        <v>322</v>
      </c>
      <c r="B109" s="78">
        <v>2.6</v>
      </c>
      <c r="C109" s="78">
        <v>2.45</v>
      </c>
      <c r="D109" s="78">
        <v>2.45</v>
      </c>
      <c r="E109" s="78">
        <v>2.6</v>
      </c>
      <c r="F109" s="78">
        <v>2.6</v>
      </c>
      <c r="G109" s="78">
        <v>2.6</v>
      </c>
      <c r="H109" s="143">
        <v>2.6</v>
      </c>
      <c r="I109" s="295" t="s">
        <v>13</v>
      </c>
      <c r="J109" s="295" t="s">
        <v>13</v>
      </c>
    </row>
    <row r="110" spans="1:10" ht="12.75">
      <c r="A110" s="102" t="s">
        <v>323</v>
      </c>
      <c r="B110" s="78">
        <v>2.9</v>
      </c>
      <c r="C110" s="78" t="s">
        <v>13</v>
      </c>
      <c r="D110" s="78" t="s">
        <v>13</v>
      </c>
      <c r="E110" s="78">
        <v>2.9</v>
      </c>
      <c r="F110" s="78">
        <v>2.9</v>
      </c>
      <c r="G110" s="78" t="s">
        <v>13</v>
      </c>
      <c r="H110" s="143">
        <v>2.9</v>
      </c>
      <c r="I110" s="78">
        <v>3.4</v>
      </c>
      <c r="J110" s="78">
        <v>3.8</v>
      </c>
    </row>
    <row r="111" spans="1:10" ht="12.75">
      <c r="A111" s="102" t="s">
        <v>326</v>
      </c>
      <c r="B111" s="78">
        <v>5.9</v>
      </c>
      <c r="C111" s="139">
        <v>3.5</v>
      </c>
      <c r="D111" s="139">
        <v>2.5</v>
      </c>
      <c r="E111" s="136">
        <v>15</v>
      </c>
      <c r="F111" s="136">
        <v>30</v>
      </c>
      <c r="G111" s="136">
        <v>45</v>
      </c>
      <c r="H111" s="136">
        <v>47.6</v>
      </c>
      <c r="I111" s="229">
        <v>339</v>
      </c>
      <c r="J111" s="229">
        <v>1046</v>
      </c>
    </row>
    <row r="112" spans="1:10" ht="12.75">
      <c r="A112" s="102" t="s">
        <v>147</v>
      </c>
      <c r="B112" s="81">
        <v>3316000</v>
      </c>
      <c r="C112" s="81">
        <v>2234000</v>
      </c>
      <c r="D112" s="81">
        <v>210000</v>
      </c>
      <c r="E112" s="81">
        <v>838000</v>
      </c>
      <c r="F112" s="81">
        <v>9900</v>
      </c>
      <c r="G112" s="81">
        <v>13500</v>
      </c>
      <c r="H112" s="81">
        <v>68400</v>
      </c>
      <c r="I112" s="228">
        <v>2900</v>
      </c>
      <c r="J112" s="228">
        <v>6950</v>
      </c>
    </row>
    <row r="113" spans="1:10" ht="12.75">
      <c r="A113" s="140" t="s">
        <v>329</v>
      </c>
      <c r="B113" s="158">
        <v>0.25</v>
      </c>
      <c r="C113" s="158">
        <v>0.2</v>
      </c>
      <c r="D113" s="78" t="s">
        <v>13</v>
      </c>
      <c r="E113" s="141">
        <v>0.5</v>
      </c>
      <c r="F113" s="141">
        <v>1</v>
      </c>
      <c r="G113" s="142" t="s">
        <v>13</v>
      </c>
      <c r="H113" s="141">
        <v>1</v>
      </c>
      <c r="I113" s="141">
        <v>1</v>
      </c>
      <c r="J113" s="141">
        <v>1</v>
      </c>
    </row>
    <row r="114" spans="1:8" ht="12.75">
      <c r="A114" s="149"/>
      <c r="B114" s="85"/>
      <c r="C114" s="85"/>
      <c r="D114" s="85"/>
      <c r="E114" s="152"/>
      <c r="F114" s="153"/>
      <c r="G114" s="152"/>
      <c r="H114" s="152"/>
    </row>
    <row r="115" ht="12.75">
      <c r="A115" s="159" t="s">
        <v>334</v>
      </c>
    </row>
    <row r="116" spans="1:8" ht="12.75">
      <c r="A116" s="383" t="s">
        <v>483</v>
      </c>
      <c r="B116" s="383"/>
      <c r="C116" s="383"/>
      <c r="D116" s="383"/>
      <c r="E116" s="387" t="s">
        <v>352</v>
      </c>
      <c r="F116" s="387"/>
      <c r="G116" s="387"/>
      <c r="H116" s="387"/>
    </row>
    <row r="117" spans="1:8" ht="12.75">
      <c r="A117" s="140" t="s">
        <v>340</v>
      </c>
      <c r="B117" s="143" t="s">
        <v>342</v>
      </c>
      <c r="C117" s="78" t="s">
        <v>343</v>
      </c>
      <c r="D117" s="78" t="s">
        <v>345</v>
      </c>
      <c r="E117" s="140" t="s">
        <v>340</v>
      </c>
      <c r="F117" s="143" t="s">
        <v>342</v>
      </c>
      <c r="G117" s="78" t="s">
        <v>343</v>
      </c>
      <c r="H117" s="78" t="s">
        <v>345</v>
      </c>
    </row>
    <row r="118" spans="1:8" ht="12.75">
      <c r="A118" s="140" t="s">
        <v>341</v>
      </c>
      <c r="B118" s="221">
        <v>0.075</v>
      </c>
      <c r="C118" s="78">
        <v>24</v>
      </c>
      <c r="D118" s="83">
        <f>C118*B118</f>
        <v>1.7999999999999998</v>
      </c>
      <c r="E118" s="140" t="s">
        <v>341</v>
      </c>
      <c r="F118" s="221">
        <v>0</v>
      </c>
      <c r="G118" s="78">
        <v>24</v>
      </c>
      <c r="H118" s="78">
        <f>G118*F118</f>
        <v>0</v>
      </c>
    </row>
    <row r="119" spans="1:8" ht="12.75">
      <c r="A119" s="140" t="s">
        <v>366</v>
      </c>
      <c r="B119" s="221">
        <v>0.225</v>
      </c>
      <c r="C119" s="78">
        <v>11.7</v>
      </c>
      <c r="D119" s="83">
        <f>C119*B119</f>
        <v>2.6325</v>
      </c>
      <c r="E119" s="140" t="s">
        <v>366</v>
      </c>
      <c r="F119" s="222">
        <v>0.5</v>
      </c>
      <c r="G119" s="78">
        <v>11.7</v>
      </c>
      <c r="H119" s="78">
        <f>G119*F119</f>
        <v>5.85</v>
      </c>
    </row>
    <row r="120" spans="1:8" ht="12.75">
      <c r="A120" s="140" t="s">
        <v>339</v>
      </c>
      <c r="B120" s="222">
        <v>0.7</v>
      </c>
      <c r="C120" s="78">
        <v>8.3</v>
      </c>
      <c r="D120" s="83">
        <f>C120*B120</f>
        <v>5.8100000000000005</v>
      </c>
      <c r="E120" s="140" t="s">
        <v>339</v>
      </c>
      <c r="F120" s="222">
        <v>0.5</v>
      </c>
      <c r="G120" s="78">
        <v>8.3</v>
      </c>
      <c r="H120" s="78">
        <f>G120*F120</f>
        <v>4.15</v>
      </c>
    </row>
    <row r="121" spans="1:8" ht="12.75">
      <c r="A121" s="384"/>
      <c r="B121" s="385"/>
      <c r="C121" s="386"/>
      <c r="D121" s="78">
        <f>SUM(D118:D120)</f>
        <v>10.2425</v>
      </c>
      <c r="E121" s="384"/>
      <c r="F121" s="385"/>
      <c r="G121" s="386"/>
      <c r="H121" s="78">
        <f>SUM(H118:H120)</f>
        <v>10</v>
      </c>
    </row>
    <row r="122" spans="1:8" ht="12.75">
      <c r="A122" s="9" t="s">
        <v>346</v>
      </c>
      <c r="B122" s="148" t="s">
        <v>347</v>
      </c>
      <c r="C122" s="78" t="s">
        <v>344</v>
      </c>
      <c r="D122" s="9"/>
      <c r="E122" s="9" t="s">
        <v>346</v>
      </c>
      <c r="F122" s="148" t="s">
        <v>347</v>
      </c>
      <c r="G122" s="78" t="s">
        <v>344</v>
      </c>
      <c r="H122" s="9"/>
    </row>
    <row r="123" spans="1:8" ht="12.75">
      <c r="A123" s="141">
        <v>1</v>
      </c>
      <c r="B123" s="222">
        <v>0.01</v>
      </c>
      <c r="C123" s="150">
        <f>A123*B123</f>
        <v>0.01</v>
      </c>
      <c r="D123" s="9"/>
      <c r="E123" s="141">
        <v>1</v>
      </c>
      <c r="F123" s="222">
        <v>0.4</v>
      </c>
      <c r="G123" s="150">
        <f>E123*F123</f>
        <v>0.4</v>
      </c>
      <c r="H123" s="9"/>
    </row>
    <row r="124" spans="1:8" ht="12.75">
      <c r="A124" s="141">
        <v>0.75</v>
      </c>
      <c r="B124" s="222">
        <v>0.42</v>
      </c>
      <c r="C124" s="150">
        <f>A124*B124</f>
        <v>0.315</v>
      </c>
      <c r="D124" s="9"/>
      <c r="E124" s="141">
        <v>0.75</v>
      </c>
      <c r="F124" s="222">
        <v>0.1</v>
      </c>
      <c r="G124" s="150">
        <f>E124*F124</f>
        <v>0.07500000000000001</v>
      </c>
      <c r="H124" s="9"/>
    </row>
    <row r="125" spans="1:8" ht="12.75">
      <c r="A125" s="141">
        <v>0.5</v>
      </c>
      <c r="B125" s="222">
        <v>0.45</v>
      </c>
      <c r="C125" s="150">
        <f>A125*B125</f>
        <v>0.225</v>
      </c>
      <c r="D125" s="9"/>
      <c r="E125" s="141">
        <v>0.5</v>
      </c>
      <c r="F125" s="222">
        <v>0.1</v>
      </c>
      <c r="G125" s="150">
        <f>E125*F125</f>
        <v>0.05</v>
      </c>
      <c r="H125" s="9"/>
    </row>
    <row r="126" spans="1:8" ht="12.75">
      <c r="A126" s="141">
        <v>0.25</v>
      </c>
      <c r="B126" s="222">
        <v>0.12</v>
      </c>
      <c r="C126" s="150">
        <f>A126*B126</f>
        <v>0.03</v>
      </c>
      <c r="D126" s="9"/>
      <c r="E126" s="141">
        <v>0.2</v>
      </c>
      <c r="F126" s="222">
        <v>0.1</v>
      </c>
      <c r="G126" s="150">
        <f>E126*F126</f>
        <v>0.020000000000000004</v>
      </c>
      <c r="H126" s="9"/>
    </row>
    <row r="127" spans="1:8" ht="12.75">
      <c r="A127" s="141">
        <v>0</v>
      </c>
      <c r="B127" s="222">
        <v>0</v>
      </c>
      <c r="C127" s="150">
        <f>A127*B127</f>
        <v>0</v>
      </c>
      <c r="D127" s="9"/>
      <c r="E127" s="141">
        <v>0</v>
      </c>
      <c r="F127" s="222">
        <v>0.3</v>
      </c>
      <c r="G127" s="150">
        <f>E127*F127</f>
        <v>0</v>
      </c>
      <c r="H127" s="9"/>
    </row>
    <row r="128" spans="1:8" ht="12.75">
      <c r="A128" s="9"/>
      <c r="B128" s="222">
        <f>SUM(B123:B127)</f>
        <v>1</v>
      </c>
      <c r="C128" s="150">
        <f>SUM(C123:C127)</f>
        <v>0.5800000000000001</v>
      </c>
      <c r="D128" s="9"/>
      <c r="E128" s="9"/>
      <c r="F128" s="222">
        <f>SUM(F123:F127)</f>
        <v>1</v>
      </c>
      <c r="G128" s="150">
        <f>SUM(G123:G127)</f>
        <v>0.545</v>
      </c>
      <c r="H128" s="9"/>
    </row>
    <row r="129" spans="1:8" ht="12.75">
      <c r="A129" s="9" t="s">
        <v>348</v>
      </c>
      <c r="B129" s="223">
        <f>D121*C128</f>
        <v>5.940650000000001</v>
      </c>
      <c r="C129" s="9"/>
      <c r="D129" s="151"/>
      <c r="E129" s="9" t="s">
        <v>348</v>
      </c>
      <c r="F129" s="223">
        <f>H121*G128</f>
        <v>5.45</v>
      </c>
      <c r="G129" s="9"/>
      <c r="H129" s="151"/>
    </row>
  </sheetData>
  <sheetProtection/>
  <mergeCells count="13">
    <mergeCell ref="B2:B3"/>
    <mergeCell ref="C2:C3"/>
    <mergeCell ref="D2:D3"/>
    <mergeCell ref="A116:D116"/>
    <mergeCell ref="E121:G121"/>
    <mergeCell ref="E116:H116"/>
    <mergeCell ref="A121:C121"/>
    <mergeCell ref="I2:I3"/>
    <mergeCell ref="F2:F3"/>
    <mergeCell ref="G2:G3"/>
    <mergeCell ref="H2:H3"/>
    <mergeCell ref="E2:E3"/>
    <mergeCell ref="A2:A3"/>
  </mergeCells>
  <printOptions/>
  <pageMargins left="0.75" right="0.75" top="1" bottom="1" header="0.5" footer="0.5"/>
  <pageSetup horizontalDpi="200" verticalDpi="200" orientation="portrait" r:id="rId4"/>
  <ignoredErrors>
    <ignoredError sqref="I24 I18 I8 I48 I62 I55 I80 I74" formula="1"/>
  </ignoredErrors>
  <drawing r:id="rId3"/>
  <legacyDrawing r:id="rId2"/>
</worksheet>
</file>

<file path=xl/worksheets/sheet5.xml><?xml version="1.0" encoding="utf-8"?>
<worksheet xmlns="http://schemas.openxmlformats.org/spreadsheetml/2006/main" xmlns:r="http://schemas.openxmlformats.org/officeDocument/2006/relationships">
  <dimension ref="A1:R18"/>
  <sheetViews>
    <sheetView zoomScalePageLayoutView="0" workbookViewId="0" topLeftCell="G1">
      <selection activeCell="P14" sqref="P14"/>
    </sheetView>
  </sheetViews>
  <sheetFormatPr defaultColWidth="9.140625" defaultRowHeight="12.75"/>
  <cols>
    <col min="1" max="1" width="25.8515625" style="0" customWidth="1"/>
    <col min="2" max="2" width="10.57421875" style="0" bestFit="1" customWidth="1"/>
    <col min="6" max="7" width="12.421875" style="0" customWidth="1"/>
    <col min="8" max="8" width="13.8515625" style="0" bestFit="1" customWidth="1"/>
    <col min="10" max="10" width="10.7109375" style="0" bestFit="1" customWidth="1"/>
    <col min="11" max="11" width="13.8515625" style="0" bestFit="1" customWidth="1"/>
    <col min="14" max="14" width="11.28125" style="2" customWidth="1"/>
    <col min="15" max="15" width="12.8515625" style="0" bestFit="1" customWidth="1"/>
    <col min="16" max="16" width="6.7109375" style="0" customWidth="1"/>
    <col min="17" max="18" width="6.57421875" style="0" bestFit="1" customWidth="1"/>
  </cols>
  <sheetData>
    <row r="1" spans="1:18" ht="51">
      <c r="A1" s="4" t="s">
        <v>3</v>
      </c>
      <c r="B1" s="4" t="s">
        <v>82</v>
      </c>
      <c r="C1" s="4" t="s">
        <v>95</v>
      </c>
      <c r="D1" s="4" t="s">
        <v>642</v>
      </c>
      <c r="E1" s="4" t="s">
        <v>6</v>
      </c>
      <c r="F1" s="4" t="s">
        <v>645</v>
      </c>
      <c r="G1" s="4" t="s">
        <v>646</v>
      </c>
      <c r="H1" s="4" t="s">
        <v>643</v>
      </c>
      <c r="I1" s="4" t="s">
        <v>10</v>
      </c>
      <c r="J1" s="4" t="s">
        <v>78</v>
      </c>
      <c r="K1" s="4" t="s">
        <v>644</v>
      </c>
      <c r="L1" s="4" t="s">
        <v>65</v>
      </c>
      <c r="M1" s="4" t="s">
        <v>47</v>
      </c>
      <c r="N1" s="4" t="s">
        <v>950</v>
      </c>
      <c r="O1" s="4" t="s">
        <v>332</v>
      </c>
      <c r="P1" s="391" t="s">
        <v>951</v>
      </c>
      <c r="Q1" s="391"/>
      <c r="R1" s="391"/>
    </row>
    <row r="2" spans="1:18" ht="25.5">
      <c r="A2" s="4"/>
      <c r="B2" s="4"/>
      <c r="C2" s="4"/>
      <c r="D2" s="4"/>
      <c r="E2" s="4"/>
      <c r="F2" s="4"/>
      <c r="G2" s="4"/>
      <c r="H2" s="4"/>
      <c r="I2" s="4"/>
      <c r="J2" s="4"/>
      <c r="K2" s="4"/>
      <c r="L2" s="4"/>
      <c r="M2" s="4"/>
      <c r="N2" s="4"/>
      <c r="O2" s="4"/>
      <c r="P2" s="4" t="s">
        <v>201</v>
      </c>
      <c r="Q2" s="3" t="s">
        <v>902</v>
      </c>
      <c r="R2" s="4" t="s">
        <v>899</v>
      </c>
    </row>
    <row r="3" spans="1:18" s="20" customFormat="1" ht="12.75">
      <c r="A3" s="25" t="s">
        <v>2</v>
      </c>
      <c r="B3" s="18">
        <v>15</v>
      </c>
      <c r="C3" s="29">
        <v>133395</v>
      </c>
      <c r="D3" s="22">
        <v>0.15</v>
      </c>
      <c r="E3" s="29">
        <v>3188.8676487124703</v>
      </c>
      <c r="F3" s="29">
        <v>35</v>
      </c>
      <c r="G3" s="29">
        <f>J3*F3</f>
        <v>5187583.333333333</v>
      </c>
      <c r="H3" s="305">
        <f>J3*9600/1.1</f>
        <v>1293527272.7272725</v>
      </c>
      <c r="I3" s="11">
        <v>0.9</v>
      </c>
      <c r="J3" s="33">
        <f>C3/I3</f>
        <v>148216.66666666666</v>
      </c>
      <c r="K3" s="305">
        <f>E3*J3</f>
        <v>472643333.33333325</v>
      </c>
      <c r="L3" s="23">
        <v>0.7</v>
      </c>
      <c r="M3" s="2">
        <v>12</v>
      </c>
      <c r="N3" s="29">
        <v>838000</v>
      </c>
      <c r="O3" s="80">
        <f>'AC Energy Calc'!J50/1000000</f>
        <v>6210.371605615895</v>
      </c>
      <c r="P3" s="80">
        <v>3151</v>
      </c>
      <c r="Q3" s="80">
        <v>231</v>
      </c>
      <c r="R3" s="80">
        <v>591</v>
      </c>
    </row>
    <row r="4" spans="1:18" s="20" customFormat="1" ht="12.75">
      <c r="A4" s="25" t="s">
        <v>64</v>
      </c>
      <c r="B4" s="18">
        <v>30</v>
      </c>
      <c r="C4" s="29">
        <v>3000</v>
      </c>
      <c r="D4" s="22">
        <v>0.25</v>
      </c>
      <c r="E4" s="29">
        <v>17000</v>
      </c>
      <c r="F4" s="29" t="s">
        <v>13</v>
      </c>
      <c r="G4" s="29" t="s">
        <v>13</v>
      </c>
      <c r="H4" s="305" t="s">
        <v>13</v>
      </c>
      <c r="I4" s="22">
        <v>1</v>
      </c>
      <c r="J4" s="33">
        <f>C4/I4</f>
        <v>3000</v>
      </c>
      <c r="K4" s="305" t="s">
        <v>13</v>
      </c>
      <c r="L4" s="22">
        <v>1</v>
      </c>
      <c r="M4" s="12">
        <v>15</v>
      </c>
      <c r="N4" s="29">
        <v>9900</v>
      </c>
      <c r="O4" s="80">
        <f>'AC Energy Calc'!I57/1000000</f>
        <v>247.69083201923078</v>
      </c>
      <c r="P4" s="305" t="s">
        <v>13</v>
      </c>
      <c r="Q4" s="305" t="s">
        <v>13</v>
      </c>
      <c r="R4" s="305" t="s">
        <v>13</v>
      </c>
    </row>
    <row r="5" spans="1:18" s="20" customFormat="1" ht="12.75">
      <c r="A5" s="25" t="s">
        <v>303</v>
      </c>
      <c r="B5" s="12">
        <v>5.9</v>
      </c>
      <c r="C5" s="29">
        <v>655500</v>
      </c>
      <c r="D5" s="22">
        <v>0.2</v>
      </c>
      <c r="E5" s="29">
        <v>1050</v>
      </c>
      <c r="F5" s="29">
        <v>12</v>
      </c>
      <c r="G5" s="29">
        <f>J5*F5</f>
        <v>10488000</v>
      </c>
      <c r="H5" s="305">
        <f>J5*2140</f>
        <v>1870360000</v>
      </c>
      <c r="I5" s="22">
        <v>0.75</v>
      </c>
      <c r="J5" s="33">
        <f>C5/I5</f>
        <v>874000</v>
      </c>
      <c r="K5" s="305">
        <f aca="true" t="shared" si="0" ref="K5:K12">E5*J5</f>
        <v>917700000</v>
      </c>
      <c r="L5" s="22">
        <v>1</v>
      </c>
      <c r="M5" s="12">
        <v>10</v>
      </c>
      <c r="N5" s="29">
        <v>3316000</v>
      </c>
      <c r="O5" s="80">
        <f>'AC Energy Calc'!J20/1000000</f>
        <v>6616.53196231407</v>
      </c>
      <c r="P5" s="80">
        <v>4227.9</v>
      </c>
      <c r="Q5" s="80" t="s">
        <v>13</v>
      </c>
      <c r="R5" s="80">
        <v>1244</v>
      </c>
    </row>
    <row r="6" spans="1:18" s="20" customFormat="1" ht="12.75">
      <c r="A6" s="25" t="s">
        <v>327</v>
      </c>
      <c r="B6" s="137">
        <v>4.5</v>
      </c>
      <c r="C6" s="29">
        <v>166807</v>
      </c>
      <c r="D6" s="22" t="s">
        <v>175</v>
      </c>
      <c r="E6" s="29">
        <v>450</v>
      </c>
      <c r="F6" s="29">
        <v>6</v>
      </c>
      <c r="G6" s="29">
        <f>J6*F6</f>
        <v>944382</v>
      </c>
      <c r="H6" s="305">
        <f>J6*1410</f>
        <v>221929770</v>
      </c>
      <c r="I6" s="22" t="s">
        <v>176</v>
      </c>
      <c r="J6" s="33">
        <v>157397</v>
      </c>
      <c r="K6" s="305">
        <f t="shared" si="0"/>
        <v>70828650</v>
      </c>
      <c r="L6" s="22">
        <v>1</v>
      </c>
      <c r="M6" s="12">
        <v>12</v>
      </c>
      <c r="N6" s="29">
        <v>2234000</v>
      </c>
      <c r="O6" s="80">
        <f>'AC Energy Calc'!I27/1000000</f>
        <v>1086.0431428571426</v>
      </c>
      <c r="P6" s="80">
        <v>1877</v>
      </c>
      <c r="Q6" s="80" t="s">
        <v>13</v>
      </c>
      <c r="R6" s="80" t="s">
        <v>13</v>
      </c>
    </row>
    <row r="7" spans="1:18" ht="12.75">
      <c r="A7" s="25" t="s">
        <v>41</v>
      </c>
      <c r="B7" s="12">
        <v>47.6</v>
      </c>
      <c r="C7" s="29">
        <v>4675</v>
      </c>
      <c r="D7" s="11">
        <v>0.01</v>
      </c>
      <c r="E7" s="29">
        <v>8252</v>
      </c>
      <c r="F7" s="29" t="s">
        <v>13</v>
      </c>
      <c r="G7" s="29" t="s">
        <v>13</v>
      </c>
      <c r="H7" s="305" t="s">
        <v>13</v>
      </c>
      <c r="I7" s="21">
        <v>0.9</v>
      </c>
      <c r="J7" s="33">
        <f>C7/I7</f>
        <v>5194.444444444444</v>
      </c>
      <c r="K7" s="305" t="s">
        <v>13</v>
      </c>
      <c r="L7" s="22">
        <v>0.4</v>
      </c>
      <c r="M7" s="12">
        <v>20</v>
      </c>
      <c r="N7" s="29">
        <v>68400</v>
      </c>
      <c r="O7" s="80">
        <f>'AC Energy Calc'!I64/1000000</f>
        <v>2567.1474905824225</v>
      </c>
      <c r="P7" s="305" t="s">
        <v>13</v>
      </c>
      <c r="Q7" s="305" t="s">
        <v>13</v>
      </c>
      <c r="R7" s="305" t="s">
        <v>13</v>
      </c>
    </row>
    <row r="8" spans="1:18" ht="12.75">
      <c r="A8" s="25" t="s">
        <v>66</v>
      </c>
      <c r="B8" s="18">
        <v>14</v>
      </c>
      <c r="C8" s="30">
        <v>70000</v>
      </c>
      <c r="D8" s="58" t="s">
        <v>175</v>
      </c>
      <c r="E8" s="29">
        <v>1100</v>
      </c>
      <c r="F8" s="29">
        <v>18</v>
      </c>
      <c r="G8" s="29">
        <f>J8*F8</f>
        <v>1260000</v>
      </c>
      <c r="H8" s="305">
        <f>J8*3600</f>
        <v>252000000</v>
      </c>
      <c r="I8" s="21" t="s">
        <v>176</v>
      </c>
      <c r="J8" s="30">
        <v>70000</v>
      </c>
      <c r="K8" s="305">
        <f t="shared" si="0"/>
        <v>77000000</v>
      </c>
      <c r="L8" s="22">
        <v>0.1</v>
      </c>
      <c r="M8" s="12">
        <v>13</v>
      </c>
      <c r="N8" s="45">
        <v>823000</v>
      </c>
      <c r="O8" s="114" t="s">
        <v>13</v>
      </c>
      <c r="P8" s="21" t="s">
        <v>176</v>
      </c>
      <c r="Q8" s="21" t="s">
        <v>176</v>
      </c>
      <c r="R8" s="21" t="s">
        <v>176</v>
      </c>
    </row>
    <row r="9" spans="1:18" ht="12.75">
      <c r="A9" s="25" t="s">
        <v>52</v>
      </c>
      <c r="B9" s="2">
        <v>23.5</v>
      </c>
      <c r="C9" s="29">
        <v>62217</v>
      </c>
      <c r="D9" s="23">
        <v>0.06</v>
      </c>
      <c r="E9" s="31">
        <v>1200</v>
      </c>
      <c r="F9" s="29">
        <v>24</v>
      </c>
      <c r="G9" s="29">
        <f>J9*F9</f>
        <v>1571797.8947368423</v>
      </c>
      <c r="H9" s="305">
        <f>J9*3200</f>
        <v>209573052.63157898</v>
      </c>
      <c r="I9" s="13">
        <v>0.95</v>
      </c>
      <c r="J9" s="33">
        <f>C9/I9</f>
        <v>65491.57894736843</v>
      </c>
      <c r="K9" s="305">
        <f t="shared" si="0"/>
        <v>78589894.73684211</v>
      </c>
      <c r="L9" s="13">
        <v>0.15</v>
      </c>
      <c r="M9" s="2">
        <v>15</v>
      </c>
      <c r="N9" s="29">
        <v>675700</v>
      </c>
      <c r="O9" s="114" t="s">
        <v>13</v>
      </c>
      <c r="P9" s="21" t="s">
        <v>176</v>
      </c>
      <c r="Q9" s="21" t="s">
        <v>176</v>
      </c>
      <c r="R9" s="21" t="s">
        <v>176</v>
      </c>
    </row>
    <row r="10" spans="1:18" ht="12.75">
      <c r="A10" s="25" t="s">
        <v>615</v>
      </c>
      <c r="B10" s="2">
        <v>339</v>
      </c>
      <c r="C10" s="29">
        <v>192</v>
      </c>
      <c r="D10" s="28">
        <v>0.075</v>
      </c>
      <c r="E10" s="31" t="s">
        <v>13</v>
      </c>
      <c r="F10" s="31" t="s">
        <v>13</v>
      </c>
      <c r="G10" s="31" t="s">
        <v>13</v>
      </c>
      <c r="H10" s="305" t="s">
        <v>13</v>
      </c>
      <c r="I10" s="58" t="s">
        <v>176</v>
      </c>
      <c r="J10" s="29">
        <v>192</v>
      </c>
      <c r="K10" s="305" t="s">
        <v>13</v>
      </c>
      <c r="L10" s="23" t="s">
        <v>617</v>
      </c>
      <c r="M10" s="2">
        <v>20</v>
      </c>
      <c r="N10" s="29">
        <v>2900</v>
      </c>
      <c r="O10" s="80">
        <f>'AC Energy Calc'!I76/1000000</f>
        <v>626.9683383749999</v>
      </c>
      <c r="P10" s="305" t="s">
        <v>13</v>
      </c>
      <c r="Q10" s="305" t="s">
        <v>13</v>
      </c>
      <c r="R10" s="305" t="s">
        <v>13</v>
      </c>
    </row>
    <row r="11" spans="1:18" ht="12.75">
      <c r="A11" s="25" t="s">
        <v>616</v>
      </c>
      <c r="B11" s="2">
        <v>1046</v>
      </c>
      <c r="C11" s="29">
        <v>415</v>
      </c>
      <c r="D11" s="28">
        <v>0.075</v>
      </c>
      <c r="E11" s="31" t="s">
        <v>13</v>
      </c>
      <c r="F11" s="31" t="s">
        <v>13</v>
      </c>
      <c r="G11" s="31" t="s">
        <v>13</v>
      </c>
      <c r="H11" s="305" t="s">
        <v>13</v>
      </c>
      <c r="I11" s="2" t="s">
        <v>176</v>
      </c>
      <c r="J11" s="29">
        <v>415</v>
      </c>
      <c r="K11" s="305" t="s">
        <v>13</v>
      </c>
      <c r="L11" s="23" t="s">
        <v>617</v>
      </c>
      <c r="M11" s="12">
        <v>25</v>
      </c>
      <c r="N11" s="59">
        <v>6950</v>
      </c>
      <c r="O11" s="80">
        <f>'AC Energy Calc'!I82/1000000</f>
        <v>4148.200343769738</v>
      </c>
      <c r="P11" s="305" t="s">
        <v>13</v>
      </c>
      <c r="Q11" s="305" t="s">
        <v>13</v>
      </c>
      <c r="R11" s="305" t="s">
        <v>13</v>
      </c>
    </row>
    <row r="12" spans="1:18" ht="12.75">
      <c r="A12" s="25" t="s">
        <v>157</v>
      </c>
      <c r="B12" s="138">
        <v>2.5</v>
      </c>
      <c r="C12" s="29">
        <v>30000</v>
      </c>
      <c r="D12" s="28" t="s">
        <v>177</v>
      </c>
      <c r="E12" s="59">
        <v>440</v>
      </c>
      <c r="F12" s="59">
        <v>0</v>
      </c>
      <c r="G12" s="59" t="s">
        <v>13</v>
      </c>
      <c r="H12" s="305">
        <f>C12*775</f>
        <v>23250000</v>
      </c>
      <c r="I12" s="2" t="s">
        <v>176</v>
      </c>
      <c r="J12" s="29">
        <v>30000</v>
      </c>
      <c r="K12" s="305">
        <f t="shared" si="0"/>
        <v>13200000</v>
      </c>
      <c r="L12" s="23">
        <v>1</v>
      </c>
      <c r="M12" s="12">
        <v>7</v>
      </c>
      <c r="N12" s="31">
        <v>210000</v>
      </c>
      <c r="O12" s="80">
        <f>'AC Energy Calc'!I33/1000000</f>
        <v>73.14813297141566</v>
      </c>
      <c r="P12" s="80">
        <v>74</v>
      </c>
      <c r="Q12" s="80" t="s">
        <v>13</v>
      </c>
      <c r="R12" s="80">
        <v>32</v>
      </c>
    </row>
    <row r="13" spans="1:18" ht="13.5" thickBot="1">
      <c r="A13" s="25" t="s">
        <v>158</v>
      </c>
      <c r="B13" s="5">
        <v>45</v>
      </c>
      <c r="C13" s="29">
        <v>960</v>
      </c>
      <c r="D13" s="23">
        <v>0.05</v>
      </c>
      <c r="E13" s="59">
        <v>35000</v>
      </c>
      <c r="F13" s="59" t="s">
        <v>13</v>
      </c>
      <c r="G13" s="59" t="s">
        <v>13</v>
      </c>
      <c r="H13" s="59" t="s">
        <v>13</v>
      </c>
      <c r="I13" s="23" t="s">
        <v>176</v>
      </c>
      <c r="J13" s="29">
        <v>960</v>
      </c>
      <c r="K13" s="59" t="s">
        <v>13</v>
      </c>
      <c r="L13" s="23">
        <v>0.95</v>
      </c>
      <c r="M13" s="12">
        <v>15</v>
      </c>
      <c r="N13" s="31">
        <v>13500</v>
      </c>
      <c r="O13" s="80">
        <f>'AC Energy Calc'!I70/1000000</f>
        <v>1108.6875</v>
      </c>
      <c r="P13" s="305" t="s">
        <v>13</v>
      </c>
      <c r="Q13" s="305" t="s">
        <v>13</v>
      </c>
      <c r="R13" s="305" t="s">
        <v>13</v>
      </c>
    </row>
    <row r="14" spans="1:18" ht="14.25" thickBot="1" thickTop="1">
      <c r="A14" s="34"/>
      <c r="B14" s="2"/>
      <c r="C14" s="29"/>
      <c r="G14" s="306">
        <f>SUM(G3:G13)</f>
        <v>19451763.228070173</v>
      </c>
      <c r="H14" s="307">
        <f>SUM(H3:H13)</f>
        <v>3870640095.3588514</v>
      </c>
      <c r="K14" s="307">
        <f>SUM(K3:K13)</f>
        <v>1629961878.0701754</v>
      </c>
      <c r="O14" s="80">
        <f>SUM(O3:O13)</f>
        <v>22684.789348504917</v>
      </c>
      <c r="P14" s="306">
        <f>SUM(P3:P13)</f>
        <v>9329.9</v>
      </c>
      <c r="Q14" s="306">
        <f>SUM(Q3:Q13)</f>
        <v>231</v>
      </c>
      <c r="R14" s="306">
        <f>SUM(R3:R13)</f>
        <v>1867</v>
      </c>
    </row>
    <row r="15" spans="1:18" ht="13.5" thickTop="1">
      <c r="A15" s="25" t="s">
        <v>154</v>
      </c>
      <c r="B15" s="2"/>
      <c r="C15" s="29"/>
      <c r="P15" s="2"/>
      <c r="Q15" s="2"/>
      <c r="R15" s="2"/>
    </row>
    <row r="16" spans="1:14" ht="25.5">
      <c r="A16" s="34" t="s">
        <v>106</v>
      </c>
      <c r="B16" s="5">
        <v>18</v>
      </c>
      <c r="C16" s="30">
        <v>900</v>
      </c>
      <c r="D16" s="23">
        <v>0.04</v>
      </c>
      <c r="E16" s="59" t="s">
        <v>13</v>
      </c>
      <c r="F16" s="59" t="s">
        <v>13</v>
      </c>
      <c r="G16" s="59"/>
      <c r="H16" s="59"/>
      <c r="I16" s="59" t="s">
        <v>176</v>
      </c>
      <c r="J16" s="31" t="s">
        <v>13</v>
      </c>
      <c r="K16" s="31"/>
      <c r="L16" s="2" t="s">
        <v>363</v>
      </c>
      <c r="M16" s="12">
        <v>10</v>
      </c>
      <c r="N16" s="51">
        <f>C16*M16</f>
        <v>9000</v>
      </c>
    </row>
    <row r="17" spans="1:3" ht="12.75">
      <c r="A17" s="34"/>
      <c r="B17" s="2"/>
      <c r="C17" s="29"/>
    </row>
    <row r="18" spans="1:3" ht="12.75">
      <c r="A18" s="34"/>
      <c r="B18" s="2"/>
      <c r="C18" s="29"/>
    </row>
    <row r="19" ht="12.75"/>
    <row r="20" ht="12.75"/>
    <row r="21" ht="12.75"/>
    <row r="22" ht="12.75"/>
    <row r="23" ht="12.75"/>
    <row r="24" ht="12.75"/>
    <row r="25" ht="12.75"/>
    <row r="26" ht="12.75"/>
    <row r="27" ht="12.75"/>
    <row r="28" ht="12.75"/>
    <row r="29" ht="12.75"/>
    <row r="30" ht="12.75"/>
    <row r="31" ht="12.75"/>
  </sheetData>
  <sheetProtection/>
  <mergeCells count="1">
    <mergeCell ref="P1:R1"/>
  </mergeCells>
  <printOptions/>
  <pageMargins left="0.75" right="0.75" top="1" bottom="1" header="0.5" footer="0.5"/>
  <pageSetup horizontalDpi="200" verticalDpi="2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G10" sqref="G10"/>
    </sheetView>
  </sheetViews>
  <sheetFormatPr defaultColWidth="9.140625" defaultRowHeight="12.75" outlineLevelRow="1"/>
  <cols>
    <col min="1" max="1" width="32.421875" style="0" customWidth="1"/>
    <col min="2" max="2" width="9.57421875" style="0" bestFit="1" customWidth="1"/>
    <col min="3" max="3" width="11.7109375" style="0" bestFit="1" customWidth="1"/>
    <col min="4" max="4" width="9.57421875" style="0" bestFit="1" customWidth="1"/>
    <col min="5" max="5" width="9.421875" style="0" bestFit="1" customWidth="1"/>
    <col min="6" max="6" width="9.57421875" style="0" bestFit="1" customWidth="1"/>
    <col min="7" max="7" width="9.421875" style="0" bestFit="1" customWidth="1"/>
    <col min="8" max="8" width="9.57421875" style="0" bestFit="1" customWidth="1"/>
    <col min="9" max="9" width="10.57421875" style="0" bestFit="1" customWidth="1"/>
  </cols>
  <sheetData>
    <row r="1" ht="15.75">
      <c r="A1" s="97" t="s">
        <v>628</v>
      </c>
    </row>
    <row r="2" spans="1:9" ht="12.75">
      <c r="A2" s="9" t="s">
        <v>452</v>
      </c>
      <c r="B2" s="78" t="s">
        <v>209</v>
      </c>
      <c r="C2" s="78" t="s">
        <v>457</v>
      </c>
      <c r="D2" s="78" t="s">
        <v>200</v>
      </c>
      <c r="E2" s="78" t="s">
        <v>216</v>
      </c>
      <c r="F2" s="78" t="s">
        <v>167</v>
      </c>
      <c r="G2" s="78" t="s">
        <v>166</v>
      </c>
      <c r="H2" s="78" t="s">
        <v>168</v>
      </c>
      <c r="I2" s="78" t="s">
        <v>453</v>
      </c>
    </row>
    <row r="3" spans="1:9" ht="12.75" hidden="1">
      <c r="A3" s="9" t="s">
        <v>454</v>
      </c>
      <c r="B3" s="201">
        <v>1465.7</v>
      </c>
      <c r="C3" s="201">
        <v>2648.9</v>
      </c>
      <c r="D3" s="201">
        <v>1880.4</v>
      </c>
      <c r="E3" s="201">
        <v>194.2</v>
      </c>
      <c r="F3" s="201">
        <v>55.3</v>
      </c>
      <c r="G3" s="201">
        <v>627.2</v>
      </c>
      <c r="H3" s="201">
        <v>768.5</v>
      </c>
      <c r="I3" s="201">
        <f aca="true" t="shared" si="0" ref="I3:I8">SUM(B3:H3)</f>
        <v>7640.2</v>
      </c>
    </row>
    <row r="4" spans="1:9" ht="12.75">
      <c r="A4" s="9" t="s">
        <v>455</v>
      </c>
      <c r="B4" s="201">
        <v>1583.1</v>
      </c>
      <c r="C4" s="201">
        <v>2773.3</v>
      </c>
      <c r="D4" s="201">
        <v>1975.6</v>
      </c>
      <c r="E4" s="201">
        <v>202.8</v>
      </c>
      <c r="F4" s="201">
        <v>67.2</v>
      </c>
      <c r="G4" s="201">
        <v>649</v>
      </c>
      <c r="H4" s="201">
        <v>806.3</v>
      </c>
      <c r="I4" s="201">
        <f t="shared" si="0"/>
        <v>8057.3</v>
      </c>
    </row>
    <row r="5" spans="1:9" ht="12.75" hidden="1">
      <c r="A5" s="9" t="s">
        <v>456</v>
      </c>
      <c r="B5" s="201">
        <v>1620.3</v>
      </c>
      <c r="C5" s="201">
        <v>2811.6</v>
      </c>
      <c r="D5" s="201">
        <v>2003.7</v>
      </c>
      <c r="E5" s="201">
        <v>204.5</v>
      </c>
      <c r="F5" s="201">
        <v>68.4</v>
      </c>
      <c r="G5" s="201">
        <v>654.9</v>
      </c>
      <c r="H5" s="201">
        <v>822.4</v>
      </c>
      <c r="I5" s="201">
        <f t="shared" si="0"/>
        <v>8185.799999999998</v>
      </c>
    </row>
    <row r="6" spans="1:9" ht="12.75" outlineLevel="1">
      <c r="A6" s="76" t="s">
        <v>360</v>
      </c>
      <c r="B6" s="81">
        <f>'AC Energy Calc'!B8</f>
        <v>751074</v>
      </c>
      <c r="C6" s="81">
        <f>'AC Energy Calc'!C8</f>
        <v>696360.0000000001</v>
      </c>
      <c r="D6" s="81">
        <f>'AC Energy Calc'!D8</f>
        <v>494913</v>
      </c>
      <c r="E6" s="81">
        <f>'AC Energy Calc'!E8</f>
        <v>44766</v>
      </c>
      <c r="F6" s="81">
        <f>'AC Energy Calc'!G8</f>
        <v>49740</v>
      </c>
      <c r="G6" s="81">
        <f>'AC Energy Calc'!F8</f>
        <v>159168</v>
      </c>
      <c r="H6" s="81">
        <f>'AC Energy Calc'!H8</f>
        <v>290979</v>
      </c>
      <c r="I6" s="81">
        <f t="shared" si="0"/>
        <v>2487000</v>
      </c>
    </row>
    <row r="7" spans="1:9" ht="12.75" outlineLevel="1">
      <c r="A7" s="202" t="s">
        <v>327</v>
      </c>
      <c r="B7" s="81">
        <f>'AC Energy Calc'!B25</f>
        <v>539734.4</v>
      </c>
      <c r="C7" s="81">
        <f>'AC Energy Calc'!C25</f>
        <v>500416.0000000001</v>
      </c>
      <c r="D7" s="81">
        <f>'AC Energy Calc'!D25</f>
        <v>355652.80000000005</v>
      </c>
      <c r="E7" s="81">
        <f>'AC Energy Calc'!E25</f>
        <v>32169.600000000002</v>
      </c>
      <c r="F7" s="81">
        <f>'AC Energy Calc'!G25</f>
        <v>35744</v>
      </c>
      <c r="G7" s="81">
        <f>'AC Energy Calc'!F25</f>
        <v>114380.8</v>
      </c>
      <c r="H7" s="81">
        <f>'AC Energy Calc'!H25</f>
        <v>209102.40000000002</v>
      </c>
      <c r="I7" s="81">
        <f t="shared" si="0"/>
        <v>1787200.0000000005</v>
      </c>
    </row>
    <row r="8" spans="1:9" ht="12.75" outlineLevel="1">
      <c r="A8" s="202" t="s">
        <v>321</v>
      </c>
      <c r="B8" s="81">
        <f>'AC Energy Calc'!B31</f>
        <v>63428.684403666244</v>
      </c>
      <c r="C8" s="81">
        <f>'AC Energy Calc'!C31</f>
        <v>58774.846054500595</v>
      </c>
      <c r="D8" s="81">
        <f>'AC Energy Calc'!D31</f>
        <v>41866.42442494458</v>
      </c>
      <c r="E8" s="81">
        <f>'AC Energy Calc'!E31</f>
        <v>3741.032093867403</v>
      </c>
      <c r="F8" s="81">
        <f>'AC Energy Calc'!G31</f>
        <v>4327.864562096883</v>
      </c>
      <c r="G8" s="81">
        <f>'AC Energy Calc'!F31</f>
        <v>13362.933982177028</v>
      </c>
      <c r="H8" s="81">
        <f>'AC Energy Calc'!H31</f>
        <v>24488.25804053503</v>
      </c>
      <c r="I8" s="81">
        <f t="shared" si="0"/>
        <v>209990.04356178775</v>
      </c>
    </row>
    <row r="9" spans="1:9" ht="12.75" outlineLevel="1">
      <c r="A9" s="76" t="s">
        <v>362</v>
      </c>
      <c r="B9" s="81">
        <f>'AC Energy Calc'!B38</f>
        <v>94843.71220454016</v>
      </c>
      <c r="C9" s="81">
        <f>'AC Energy Calc'!C38</f>
        <v>149481.69729343816</v>
      </c>
      <c r="D9" s="81">
        <f>'AC Energy Calc'!D38</f>
        <v>56182.78482730007</v>
      </c>
      <c r="E9" s="81">
        <f>'AC Energy Calc'!E38</f>
        <v>8565.953948178434</v>
      </c>
      <c r="F9" s="81">
        <f>'AC Energy Calc'!G38</f>
        <v>5588.917519401142</v>
      </c>
      <c r="G9" s="81">
        <f>'AC Energy Calc'!F38</f>
        <v>48417.99735015568</v>
      </c>
      <c r="H9" s="81">
        <f>'AC Energy Calc'!H38</f>
        <v>55918.93685698634</v>
      </c>
      <c r="I9" s="81">
        <f>'AC Energy Calc'!I38</f>
        <v>419000</v>
      </c>
    </row>
    <row r="10" spans="1:9" ht="12.75">
      <c r="A10" s="76" t="s">
        <v>461</v>
      </c>
      <c r="B10" s="81">
        <f>SUM(B6:B9)</f>
        <v>1449080.7966082064</v>
      </c>
      <c r="C10" s="81">
        <f aca="true" t="shared" si="1" ref="C10:I10">SUM(C6:C9)</f>
        <v>1405032.5433479392</v>
      </c>
      <c r="D10" s="81">
        <f t="shared" si="1"/>
        <v>948615.0092522447</v>
      </c>
      <c r="E10" s="81">
        <f t="shared" si="1"/>
        <v>89242.58604204583</v>
      </c>
      <c r="F10" s="81">
        <f t="shared" si="1"/>
        <v>95400.78208149804</v>
      </c>
      <c r="G10" s="81">
        <f t="shared" si="1"/>
        <v>335329.7313323327</v>
      </c>
      <c r="H10" s="81">
        <f t="shared" si="1"/>
        <v>580488.5948975214</v>
      </c>
      <c r="I10" s="81">
        <f t="shared" si="1"/>
        <v>4903190.043561787</v>
      </c>
    </row>
    <row r="11" spans="1:9" ht="12.75">
      <c r="A11" s="203" t="s">
        <v>66</v>
      </c>
      <c r="B11" s="79">
        <f>B10*0.15</f>
        <v>217362.11949123096</v>
      </c>
      <c r="C11" s="79">
        <f aca="true" t="shared" si="2" ref="C11:I11">C10*0.15</f>
        <v>210754.88150219087</v>
      </c>
      <c r="D11" s="79">
        <f t="shared" si="2"/>
        <v>142292.2513878367</v>
      </c>
      <c r="E11" s="79">
        <f t="shared" si="2"/>
        <v>13386.387906306874</v>
      </c>
      <c r="F11" s="79">
        <f t="shared" si="2"/>
        <v>14310.117312224706</v>
      </c>
      <c r="G11" s="79">
        <f t="shared" si="2"/>
        <v>50299.459699849904</v>
      </c>
      <c r="H11" s="79">
        <f t="shared" si="2"/>
        <v>87073.28923462822</v>
      </c>
      <c r="I11" s="79">
        <f t="shared" si="2"/>
        <v>735478.506534268</v>
      </c>
    </row>
    <row r="12" spans="1:9" ht="12.75">
      <c r="A12" s="9" t="s">
        <v>460</v>
      </c>
      <c r="B12" s="81">
        <f aca="true" t="shared" si="3" ref="B12:I12">SUM(B10:B11)*(1-$B$15)</f>
        <v>1666442.9160994373</v>
      </c>
      <c r="C12" s="81">
        <f t="shared" si="3"/>
        <v>1615787.42485013</v>
      </c>
      <c r="D12" s="81">
        <f t="shared" si="3"/>
        <v>1090907.2606400815</v>
      </c>
      <c r="E12" s="81">
        <f t="shared" si="3"/>
        <v>102628.97394835271</v>
      </c>
      <c r="F12" s="81">
        <f t="shared" si="3"/>
        <v>109710.89939372274</v>
      </c>
      <c r="G12" s="81">
        <f t="shared" si="3"/>
        <v>385629.1910321826</v>
      </c>
      <c r="H12" s="81">
        <f t="shared" si="3"/>
        <v>667561.8841321496</v>
      </c>
      <c r="I12" s="81">
        <f t="shared" si="3"/>
        <v>5638668.5500960555</v>
      </c>
    </row>
    <row r="13" spans="1:9" ht="12.75">
      <c r="A13" s="129" t="s">
        <v>459</v>
      </c>
      <c r="B13" s="83">
        <f>B12/B4/1000</f>
        <v>1.0526453894886219</v>
      </c>
      <c r="C13" s="83">
        <f aca="true" t="shared" si="4" ref="C13:I13">C12/C4/1000</f>
        <v>0.582622660675055</v>
      </c>
      <c r="D13" s="83">
        <f t="shared" si="4"/>
        <v>0.5521903526220295</v>
      </c>
      <c r="E13" s="83">
        <f t="shared" si="4"/>
        <v>0.5060600293311277</v>
      </c>
      <c r="F13" s="83">
        <f t="shared" si="4"/>
        <v>1.6326026695494453</v>
      </c>
      <c r="G13" s="83">
        <f t="shared" si="4"/>
        <v>0.5941898166905741</v>
      </c>
      <c r="H13" s="83">
        <f t="shared" si="4"/>
        <v>0.8279323876127368</v>
      </c>
      <c r="I13" s="83">
        <f t="shared" si="4"/>
        <v>0.6998211001323094</v>
      </c>
    </row>
    <row r="15" ht="12.75">
      <c r="B15" s="23"/>
    </row>
    <row r="17" spans="2:9" ht="12.75">
      <c r="B17" s="134"/>
      <c r="C17" s="134"/>
      <c r="D17" s="134"/>
      <c r="E17" s="134"/>
      <c r="F17" s="134"/>
      <c r="G17" s="134"/>
      <c r="H17" s="134"/>
      <c r="I17" s="134"/>
    </row>
    <row r="18" ht="12.75">
      <c r="I18" s="134"/>
    </row>
  </sheetData>
  <sheetProtection/>
  <printOptions/>
  <pageMargins left="0.75" right="0.75" top="1" bottom="1" header="0.5" footer="0.5"/>
  <pageSetup fitToHeight="1" fitToWidth="1" horizontalDpi="200" verticalDpi="200" orientation="landscape" scale="76" r:id="rId4"/>
  <drawing r:id="rId3"/>
  <legacyDrawing r:id="rId2"/>
</worksheet>
</file>

<file path=xl/worksheets/sheet7.xml><?xml version="1.0" encoding="utf-8"?>
<worksheet xmlns="http://schemas.openxmlformats.org/spreadsheetml/2006/main" xmlns:r="http://schemas.openxmlformats.org/officeDocument/2006/relationships">
  <dimension ref="A1:J64"/>
  <sheetViews>
    <sheetView zoomScalePageLayoutView="0" workbookViewId="0" topLeftCell="A1">
      <selection activeCell="A1" sqref="A1"/>
    </sheetView>
  </sheetViews>
  <sheetFormatPr defaultColWidth="9.140625" defaultRowHeight="12.75"/>
  <cols>
    <col min="1" max="1" width="27.421875" style="0" customWidth="1"/>
    <col min="2" max="2" width="16.140625" style="0" bestFit="1" customWidth="1"/>
    <col min="3" max="3" width="10.7109375" style="0" customWidth="1"/>
    <col min="4" max="4" width="12.421875" style="0" bestFit="1" customWidth="1"/>
    <col min="5" max="5" width="12.57421875" style="0" bestFit="1" customWidth="1"/>
    <col min="8" max="9" width="10.7109375" style="0" customWidth="1"/>
    <col min="10" max="10" width="12.7109375" style="0" bestFit="1" customWidth="1"/>
  </cols>
  <sheetData>
    <row r="1" spans="1:2" ht="15.75">
      <c r="A1" s="97" t="s">
        <v>2</v>
      </c>
      <c r="B1" s="1"/>
    </row>
    <row r="2" spans="1:10" ht="51">
      <c r="A2" s="373" t="s">
        <v>887</v>
      </c>
      <c r="B2" s="161" t="s">
        <v>888</v>
      </c>
      <c r="C2" s="374" t="s">
        <v>889</v>
      </c>
      <c r="D2" s="392" t="s">
        <v>890</v>
      </c>
      <c r="E2" s="392"/>
      <c r="F2" s="374" t="s">
        <v>891</v>
      </c>
      <c r="G2" s="374" t="s">
        <v>892</v>
      </c>
      <c r="H2" s="374" t="s">
        <v>893</v>
      </c>
      <c r="I2" s="374" t="s">
        <v>894</v>
      </c>
      <c r="J2" s="374" t="s">
        <v>895</v>
      </c>
    </row>
    <row r="3" spans="1:10" ht="12.75">
      <c r="A3" t="s">
        <v>896</v>
      </c>
      <c r="B3" t="s">
        <v>897</v>
      </c>
      <c r="C3" s="5">
        <v>16</v>
      </c>
      <c r="D3" s="5" t="s">
        <v>362</v>
      </c>
      <c r="E3" s="43" t="s">
        <v>898</v>
      </c>
      <c r="F3" s="2" t="s">
        <v>899</v>
      </c>
      <c r="G3" s="2">
        <v>3800</v>
      </c>
      <c r="H3" s="2">
        <v>30</v>
      </c>
      <c r="I3" s="2">
        <v>110</v>
      </c>
      <c r="J3" s="2" t="s">
        <v>13</v>
      </c>
    </row>
    <row r="4" spans="1:10" ht="12.75">
      <c r="A4" t="s">
        <v>896</v>
      </c>
      <c r="B4" t="s">
        <v>900</v>
      </c>
      <c r="C4" s="2">
        <v>15.3</v>
      </c>
      <c r="D4" s="5" t="s">
        <v>362</v>
      </c>
      <c r="E4" s="43" t="s">
        <v>901</v>
      </c>
      <c r="F4" s="2" t="s">
        <v>902</v>
      </c>
      <c r="G4" s="2">
        <v>4700</v>
      </c>
      <c r="H4" s="2">
        <v>7.5</v>
      </c>
      <c r="I4" s="2" t="s">
        <v>13</v>
      </c>
      <c r="J4" s="2" t="s">
        <v>13</v>
      </c>
    </row>
    <row r="5" spans="1:10" ht="12.75">
      <c r="A5" t="s">
        <v>75</v>
      </c>
      <c r="B5" t="s">
        <v>903</v>
      </c>
      <c r="C5" s="2">
        <v>14.1</v>
      </c>
      <c r="D5" s="5" t="s">
        <v>362</v>
      </c>
      <c r="E5" s="43" t="s">
        <v>901</v>
      </c>
      <c r="F5" s="2" t="s">
        <v>201</v>
      </c>
      <c r="G5" s="2">
        <v>4050</v>
      </c>
      <c r="H5" s="2">
        <v>4.6</v>
      </c>
      <c r="I5" s="2" t="s">
        <v>13</v>
      </c>
      <c r="J5" s="2" t="s">
        <v>13</v>
      </c>
    </row>
    <row r="6" spans="1:10" ht="12.75">
      <c r="A6" t="s">
        <v>77</v>
      </c>
      <c r="B6" t="s">
        <v>904</v>
      </c>
      <c r="C6" s="5">
        <v>14.5</v>
      </c>
      <c r="D6" s="5" t="s">
        <v>362</v>
      </c>
      <c r="E6" s="43" t="s">
        <v>901</v>
      </c>
      <c r="F6" s="2" t="s">
        <v>201</v>
      </c>
      <c r="G6" s="2">
        <v>4100</v>
      </c>
      <c r="H6" s="2">
        <v>30</v>
      </c>
      <c r="I6" s="2" t="s">
        <v>13</v>
      </c>
      <c r="J6" s="375" t="s">
        <v>905</v>
      </c>
    </row>
    <row r="7" spans="1:10" ht="12.75">
      <c r="A7" t="s">
        <v>77</v>
      </c>
      <c r="B7" t="s">
        <v>906</v>
      </c>
      <c r="C7" s="5" t="s">
        <v>907</v>
      </c>
      <c r="D7" s="5" t="s">
        <v>362</v>
      </c>
      <c r="E7" s="43" t="s">
        <v>908</v>
      </c>
      <c r="F7" s="2" t="s">
        <v>899</v>
      </c>
      <c r="G7" s="2">
        <v>5100</v>
      </c>
      <c r="H7" s="2">
        <v>0</v>
      </c>
      <c r="I7" s="2" t="s">
        <v>13</v>
      </c>
      <c r="J7" s="2" t="s">
        <v>13</v>
      </c>
    </row>
    <row r="8" spans="1:10" ht="12.75">
      <c r="A8" t="s">
        <v>70</v>
      </c>
      <c r="B8" t="s">
        <v>13</v>
      </c>
      <c r="C8" s="5">
        <v>15.2</v>
      </c>
      <c r="D8" s="5" t="s">
        <v>362</v>
      </c>
      <c r="E8" s="43" t="s">
        <v>901</v>
      </c>
      <c r="F8" s="2" t="s">
        <v>201</v>
      </c>
      <c r="G8" s="2">
        <v>5000</v>
      </c>
      <c r="H8" s="2">
        <v>30</v>
      </c>
      <c r="I8" s="2" t="s">
        <v>13</v>
      </c>
      <c r="J8" s="2" t="s">
        <v>13</v>
      </c>
    </row>
    <row r="9" spans="2:4" ht="12.75">
      <c r="B9" s="358"/>
      <c r="C9" s="358"/>
      <c r="D9" s="358"/>
    </row>
    <row r="10" spans="1:4" ht="51">
      <c r="A10" s="373" t="s">
        <v>909</v>
      </c>
      <c r="B10" s="374" t="s">
        <v>910</v>
      </c>
      <c r="C10" s="374" t="s">
        <v>911</v>
      </c>
      <c r="D10" s="376" t="s">
        <v>912</v>
      </c>
    </row>
    <row r="11" spans="1:8" ht="12.75">
      <c r="A11" t="s">
        <v>201</v>
      </c>
      <c r="B11" s="13">
        <v>0.8</v>
      </c>
      <c r="C11" s="2">
        <v>4.7</v>
      </c>
      <c r="D11" s="377">
        <f>B11*C11*$B$15/1000</f>
        <v>3150.88</v>
      </c>
      <c r="E11" s="13"/>
      <c r="F11" s="2"/>
      <c r="G11" s="288"/>
      <c r="H11" s="288"/>
    </row>
    <row r="12" spans="1:8" ht="12.75">
      <c r="A12" t="s">
        <v>902</v>
      </c>
      <c r="B12" s="13">
        <v>0.05</v>
      </c>
      <c r="C12" s="2">
        <v>5.5</v>
      </c>
      <c r="D12" s="377">
        <f>B12*C12*$B$15/1000</f>
        <v>230.45000000000002</v>
      </c>
      <c r="E12" s="13"/>
      <c r="F12" s="2"/>
      <c r="G12" s="288"/>
      <c r="H12" s="288"/>
    </row>
    <row r="13" spans="1:8" ht="12.75">
      <c r="A13" t="s">
        <v>899</v>
      </c>
      <c r="B13" s="13">
        <v>0.15</v>
      </c>
      <c r="C13" s="2">
        <v>4.7</v>
      </c>
      <c r="D13" s="377">
        <f>B13*C13*$B$15/1000</f>
        <v>590.79</v>
      </c>
      <c r="E13" s="13"/>
      <c r="F13" s="2"/>
      <c r="G13" s="288"/>
      <c r="H13" s="288"/>
    </row>
    <row r="14" spans="2:3" ht="12.75">
      <c r="B14" s="13"/>
      <c r="C14" s="13"/>
    </row>
    <row r="15" spans="1:2" ht="12.75">
      <c r="A15" s="273" t="s">
        <v>913</v>
      </c>
      <c r="B15" s="31">
        <v>838000</v>
      </c>
    </row>
    <row r="16" ht="12.75">
      <c r="A16" t="s">
        <v>914</v>
      </c>
    </row>
    <row r="17" ht="12.75">
      <c r="A17" t="s">
        <v>915</v>
      </c>
    </row>
    <row r="18" ht="12.75">
      <c r="A18" t="s">
        <v>916</v>
      </c>
    </row>
    <row r="20" ht="15.75">
      <c r="A20" s="97" t="s">
        <v>352</v>
      </c>
    </row>
    <row r="21" spans="1:10" ht="51">
      <c r="A21" s="373" t="s">
        <v>887</v>
      </c>
      <c r="B21" s="161" t="s">
        <v>888</v>
      </c>
      <c r="C21" s="374" t="s">
        <v>889</v>
      </c>
      <c r="D21" s="392" t="s">
        <v>890</v>
      </c>
      <c r="E21" s="392"/>
      <c r="F21" s="374" t="s">
        <v>891</v>
      </c>
      <c r="G21" s="374" t="s">
        <v>892</v>
      </c>
      <c r="H21" s="374" t="s">
        <v>893</v>
      </c>
      <c r="I21" s="374" t="s">
        <v>894</v>
      </c>
      <c r="J21" s="374" t="s">
        <v>895</v>
      </c>
    </row>
    <row r="22" spans="1:10" ht="12.75">
      <c r="A22" t="s">
        <v>75</v>
      </c>
      <c r="B22" t="s">
        <v>917</v>
      </c>
      <c r="C22" s="5">
        <v>5</v>
      </c>
      <c r="D22" s="5" t="s">
        <v>360</v>
      </c>
      <c r="E22" s="43" t="s">
        <v>901</v>
      </c>
      <c r="F22" s="2" t="s">
        <v>201</v>
      </c>
      <c r="G22" s="2">
        <v>1740</v>
      </c>
      <c r="H22" s="2">
        <v>5</v>
      </c>
      <c r="I22" s="2">
        <v>30</v>
      </c>
      <c r="J22" s="2">
        <v>10</v>
      </c>
    </row>
    <row r="23" spans="1:10" ht="12.75">
      <c r="A23" t="s">
        <v>75</v>
      </c>
      <c r="B23" t="s">
        <v>918</v>
      </c>
      <c r="C23" s="2">
        <v>6.2</v>
      </c>
      <c r="D23" s="5" t="s">
        <v>360</v>
      </c>
      <c r="E23" s="43" t="s">
        <v>901</v>
      </c>
      <c r="F23" s="2" t="s">
        <v>201</v>
      </c>
      <c r="G23" s="2">
        <v>1930</v>
      </c>
      <c r="H23" s="2">
        <v>5</v>
      </c>
      <c r="I23" s="2">
        <v>30</v>
      </c>
      <c r="J23" s="2">
        <v>10</v>
      </c>
    </row>
    <row r="24" spans="1:10" ht="12.75">
      <c r="A24" t="s">
        <v>896</v>
      </c>
      <c r="B24" t="s">
        <v>919</v>
      </c>
      <c r="C24" s="2">
        <v>5.1</v>
      </c>
      <c r="D24" s="5" t="s">
        <v>360</v>
      </c>
      <c r="E24" s="43" t="s">
        <v>901</v>
      </c>
      <c r="F24" s="2" t="s">
        <v>201</v>
      </c>
      <c r="G24" s="2">
        <v>1400</v>
      </c>
      <c r="H24" s="2">
        <v>8</v>
      </c>
      <c r="I24" s="2">
        <v>25</v>
      </c>
      <c r="J24" s="375" t="s">
        <v>920</v>
      </c>
    </row>
    <row r="25" spans="1:10" ht="12.75">
      <c r="A25" t="s">
        <v>896</v>
      </c>
      <c r="B25" t="s">
        <v>921</v>
      </c>
      <c r="C25" s="2">
        <v>6.3</v>
      </c>
      <c r="D25" s="5" t="s">
        <v>360</v>
      </c>
      <c r="E25" s="43" t="s">
        <v>901</v>
      </c>
      <c r="F25" s="2" t="s">
        <v>201</v>
      </c>
      <c r="G25" s="2">
        <v>1650</v>
      </c>
      <c r="H25" s="2">
        <v>8</v>
      </c>
      <c r="I25" s="2">
        <v>20</v>
      </c>
      <c r="J25" s="375" t="s">
        <v>920</v>
      </c>
    </row>
    <row r="26" spans="1:10" ht="12.75">
      <c r="A26" t="s">
        <v>77</v>
      </c>
      <c r="B26" t="s">
        <v>922</v>
      </c>
      <c r="C26" s="5">
        <v>5.2</v>
      </c>
      <c r="D26" s="5" t="s">
        <v>360</v>
      </c>
      <c r="E26" s="43" t="s">
        <v>901</v>
      </c>
      <c r="F26" s="2" t="s">
        <v>201</v>
      </c>
      <c r="G26" s="2">
        <v>1550</v>
      </c>
      <c r="H26" s="2">
        <v>10</v>
      </c>
      <c r="I26" s="2" t="s">
        <v>13</v>
      </c>
      <c r="J26" s="375" t="s">
        <v>923</v>
      </c>
    </row>
    <row r="27" spans="1:10" ht="13.5" thickBot="1">
      <c r="A27" t="s">
        <v>77</v>
      </c>
      <c r="B27" t="s">
        <v>924</v>
      </c>
      <c r="C27" s="5">
        <v>6.2</v>
      </c>
      <c r="D27" s="5" t="s">
        <v>360</v>
      </c>
      <c r="E27" s="43" t="s">
        <v>901</v>
      </c>
      <c r="F27" s="2" t="s">
        <v>201</v>
      </c>
      <c r="G27" s="2">
        <v>1750</v>
      </c>
      <c r="H27" s="2">
        <v>5</v>
      </c>
      <c r="I27" s="2" t="s">
        <v>13</v>
      </c>
      <c r="J27" s="375" t="s">
        <v>923</v>
      </c>
    </row>
    <row r="28" spans="3:10" ht="14.25" thickBot="1" thickTop="1">
      <c r="C28" s="5"/>
      <c r="D28" s="5"/>
      <c r="E28" s="43"/>
      <c r="F28" s="378" t="s">
        <v>173</v>
      </c>
      <c r="G28" s="378">
        <f>SUM(G22:G27)/6</f>
        <v>1670</v>
      </c>
      <c r="H28" s="2"/>
      <c r="I28" s="2"/>
      <c r="J28" s="375"/>
    </row>
    <row r="29" spans="1:10" ht="13.5" thickTop="1">
      <c r="A29" s="373" t="s">
        <v>75</v>
      </c>
      <c r="B29" s="379" t="s">
        <v>925</v>
      </c>
      <c r="C29" s="374">
        <v>4.7</v>
      </c>
      <c r="D29" s="5" t="s">
        <v>360</v>
      </c>
      <c r="E29" s="43" t="s">
        <v>898</v>
      </c>
      <c r="F29" s="2" t="s">
        <v>899</v>
      </c>
      <c r="G29" s="374">
        <v>1170</v>
      </c>
      <c r="H29" s="374">
        <v>5</v>
      </c>
      <c r="I29" s="374">
        <v>30</v>
      </c>
      <c r="J29" s="374">
        <v>10</v>
      </c>
    </row>
    <row r="30" spans="1:10" ht="12.75">
      <c r="A30" t="s">
        <v>896</v>
      </c>
      <c r="B30" t="s">
        <v>926</v>
      </c>
      <c r="C30" s="5">
        <v>5</v>
      </c>
      <c r="D30" s="5" t="s">
        <v>360</v>
      </c>
      <c r="E30" s="43" t="s">
        <v>898</v>
      </c>
      <c r="F30" s="2" t="s">
        <v>899</v>
      </c>
      <c r="G30" s="2">
        <v>1400</v>
      </c>
      <c r="H30" s="2">
        <v>20</v>
      </c>
      <c r="I30" s="2">
        <v>0</v>
      </c>
      <c r="J30" s="375" t="s">
        <v>927</v>
      </c>
    </row>
    <row r="31" spans="1:10" ht="12.75">
      <c r="A31" t="s">
        <v>896</v>
      </c>
      <c r="B31" t="s">
        <v>928</v>
      </c>
      <c r="C31" s="5">
        <v>6</v>
      </c>
      <c r="D31" s="5" t="s">
        <v>360</v>
      </c>
      <c r="E31" s="43" t="s">
        <v>898</v>
      </c>
      <c r="F31" s="2" t="s">
        <v>899</v>
      </c>
      <c r="G31" s="2">
        <v>1420</v>
      </c>
      <c r="H31" s="2">
        <v>20</v>
      </c>
      <c r="I31" s="2">
        <v>5</v>
      </c>
      <c r="J31" s="375" t="s">
        <v>929</v>
      </c>
    </row>
    <row r="32" spans="1:10" ht="12.75">
      <c r="A32" t="s">
        <v>930</v>
      </c>
      <c r="B32" t="s">
        <v>931</v>
      </c>
      <c r="C32" s="5">
        <v>5</v>
      </c>
      <c r="D32" s="5" t="s">
        <v>360</v>
      </c>
      <c r="E32" s="43" t="s">
        <v>898</v>
      </c>
      <c r="F32" s="2" t="s">
        <v>899</v>
      </c>
      <c r="G32" s="2">
        <v>1800</v>
      </c>
      <c r="H32" s="2">
        <v>7</v>
      </c>
      <c r="I32" s="2">
        <v>20</v>
      </c>
      <c r="J32" s="375" t="s">
        <v>923</v>
      </c>
    </row>
    <row r="33" spans="1:10" ht="12.75">
      <c r="A33" t="s">
        <v>930</v>
      </c>
      <c r="B33" t="s">
        <v>932</v>
      </c>
      <c r="C33" s="5">
        <v>6</v>
      </c>
      <c r="D33" s="5" t="s">
        <v>360</v>
      </c>
      <c r="E33" s="43" t="s">
        <v>898</v>
      </c>
      <c r="F33" s="2" t="s">
        <v>899</v>
      </c>
      <c r="G33" s="2">
        <v>1800</v>
      </c>
      <c r="H33" s="2">
        <v>7</v>
      </c>
      <c r="I33" s="2">
        <v>20</v>
      </c>
      <c r="J33" s="375" t="s">
        <v>923</v>
      </c>
    </row>
    <row r="34" spans="1:10" ht="12.75">
      <c r="A34" t="s">
        <v>77</v>
      </c>
      <c r="B34" t="s">
        <v>933</v>
      </c>
      <c r="C34" s="5">
        <v>5</v>
      </c>
      <c r="D34" s="5" t="s">
        <v>360</v>
      </c>
      <c r="E34" s="43" t="s">
        <v>898</v>
      </c>
      <c r="F34" s="2" t="s">
        <v>899</v>
      </c>
      <c r="G34" s="2">
        <v>1500</v>
      </c>
      <c r="H34" s="2">
        <v>10</v>
      </c>
      <c r="I34" s="2">
        <v>20</v>
      </c>
      <c r="J34" s="375" t="s">
        <v>934</v>
      </c>
    </row>
    <row r="35" spans="1:10" ht="13.5" thickBot="1">
      <c r="A35" t="s">
        <v>77</v>
      </c>
      <c r="B35" t="s">
        <v>935</v>
      </c>
      <c r="C35" s="5">
        <v>6</v>
      </c>
      <c r="D35" s="5" t="s">
        <v>360</v>
      </c>
      <c r="E35" s="43" t="s">
        <v>898</v>
      </c>
      <c r="F35" s="2" t="s">
        <v>899</v>
      </c>
      <c r="G35" s="2">
        <v>1500</v>
      </c>
      <c r="H35" s="2">
        <v>10</v>
      </c>
      <c r="I35" s="2">
        <v>20</v>
      </c>
      <c r="J35" s="375" t="s">
        <v>934</v>
      </c>
    </row>
    <row r="36" spans="2:7" ht="14.25" thickBot="1" thickTop="1">
      <c r="B36" s="358"/>
      <c r="C36" s="358"/>
      <c r="D36" s="358"/>
      <c r="F36" s="378" t="s">
        <v>173</v>
      </c>
      <c r="G36" s="380">
        <f>SUM(G29:G35)/7</f>
        <v>1512.857142857143</v>
      </c>
    </row>
    <row r="37" spans="1:4" ht="51.75" thickTop="1">
      <c r="A37" s="373" t="s">
        <v>909</v>
      </c>
      <c r="B37" s="374" t="s">
        <v>910</v>
      </c>
      <c r="C37" s="374" t="s">
        <v>911</v>
      </c>
      <c r="D37" s="376" t="s">
        <v>912</v>
      </c>
    </row>
    <row r="38" spans="1:8" ht="12.75">
      <c r="A38" t="s">
        <v>201</v>
      </c>
      <c r="B38" s="13">
        <v>0.75</v>
      </c>
      <c r="C38" s="2">
        <v>1.7</v>
      </c>
      <c r="D38" s="377">
        <f>B38*C38*$B$41/1000</f>
        <v>4227.9</v>
      </c>
      <c r="E38" s="13"/>
      <c r="F38" s="2"/>
      <c r="G38" s="288"/>
      <c r="H38" s="288"/>
    </row>
    <row r="39" spans="1:8" ht="12.75">
      <c r="A39" t="s">
        <v>899</v>
      </c>
      <c r="B39" s="13">
        <v>0.25</v>
      </c>
      <c r="C39" s="2">
        <v>1.5</v>
      </c>
      <c r="D39" s="377">
        <f>B39*C39*$B$41/1000</f>
        <v>1243.5</v>
      </c>
      <c r="E39" s="13"/>
      <c r="F39" s="2"/>
      <c r="G39" s="288"/>
      <c r="H39" s="288"/>
    </row>
    <row r="40" spans="2:3" ht="12.75">
      <c r="B40" s="13"/>
      <c r="C40" s="13"/>
    </row>
    <row r="41" spans="1:2" ht="12.75">
      <c r="A41" s="273" t="s">
        <v>913</v>
      </c>
      <c r="B41" s="31">
        <v>3316000</v>
      </c>
    </row>
    <row r="42" ht="12.75">
      <c r="A42" t="s">
        <v>936</v>
      </c>
    </row>
    <row r="43" ht="12.75">
      <c r="A43" t="s">
        <v>937</v>
      </c>
    </row>
    <row r="44" ht="12.75">
      <c r="A44" t="s">
        <v>938</v>
      </c>
    </row>
    <row r="46" ht="15.75">
      <c r="A46" s="97" t="s">
        <v>939</v>
      </c>
    </row>
    <row r="47" spans="1:6" ht="51">
      <c r="A47" s="373" t="s">
        <v>887</v>
      </c>
      <c r="B47" s="161" t="s">
        <v>888</v>
      </c>
      <c r="C47" s="374" t="s">
        <v>889</v>
      </c>
      <c r="D47" s="374" t="s">
        <v>890</v>
      </c>
      <c r="E47" s="374" t="s">
        <v>891</v>
      </c>
      <c r="F47" s="374" t="s">
        <v>892</v>
      </c>
    </row>
    <row r="48" spans="1:6" ht="12.75">
      <c r="A48" t="s">
        <v>75</v>
      </c>
      <c r="B48" t="s">
        <v>940</v>
      </c>
      <c r="C48" s="2">
        <v>3.7</v>
      </c>
      <c r="D48" s="2" t="s">
        <v>193</v>
      </c>
      <c r="E48" s="2" t="s">
        <v>201</v>
      </c>
      <c r="F48" s="2">
        <v>980</v>
      </c>
    </row>
    <row r="49" spans="1:6" ht="12.75">
      <c r="A49" t="s">
        <v>75</v>
      </c>
      <c r="B49" t="s">
        <v>941</v>
      </c>
      <c r="C49" s="2">
        <v>4.8</v>
      </c>
      <c r="D49" s="2" t="s">
        <v>193</v>
      </c>
      <c r="E49" s="2" t="s">
        <v>201</v>
      </c>
      <c r="F49" s="2">
        <v>1400</v>
      </c>
    </row>
    <row r="50" spans="1:6" ht="12.75">
      <c r="A50" t="s">
        <v>70</v>
      </c>
      <c r="B50" t="s">
        <v>942</v>
      </c>
      <c r="C50" s="2">
        <v>3.5</v>
      </c>
      <c r="D50" s="2" t="s">
        <v>193</v>
      </c>
      <c r="E50" s="2" t="s">
        <v>201</v>
      </c>
      <c r="F50" s="2">
        <v>900</v>
      </c>
    </row>
    <row r="51" spans="1:6" ht="12.75">
      <c r="A51" t="s">
        <v>83</v>
      </c>
      <c r="B51" t="s">
        <v>943</v>
      </c>
      <c r="C51" s="2">
        <v>5.3</v>
      </c>
      <c r="D51" s="2" t="s">
        <v>193</v>
      </c>
      <c r="E51" s="2" t="s">
        <v>201</v>
      </c>
      <c r="F51" s="2">
        <v>1000</v>
      </c>
    </row>
    <row r="52" spans="1:6" ht="12.75">
      <c r="A52" t="s">
        <v>944</v>
      </c>
      <c r="B52" t="s">
        <v>945</v>
      </c>
      <c r="C52" s="2">
        <v>1.73</v>
      </c>
      <c r="D52" s="2" t="s">
        <v>193</v>
      </c>
      <c r="E52" s="2" t="s">
        <v>201</v>
      </c>
      <c r="F52" s="2">
        <v>300</v>
      </c>
    </row>
    <row r="53" spans="1:6" ht="12.75">
      <c r="A53" t="s">
        <v>944</v>
      </c>
      <c r="B53" t="s">
        <v>946</v>
      </c>
      <c r="C53" s="2">
        <v>3.52</v>
      </c>
      <c r="D53" s="2" t="s">
        <v>193</v>
      </c>
      <c r="E53" s="2" t="s">
        <v>201</v>
      </c>
      <c r="F53" s="2">
        <v>520</v>
      </c>
    </row>
    <row r="54" spans="1:6" ht="13.5" thickBot="1">
      <c r="A54" t="s">
        <v>944</v>
      </c>
      <c r="B54" t="s">
        <v>947</v>
      </c>
      <c r="C54" s="2">
        <v>4.5</v>
      </c>
      <c r="D54" s="2" t="s">
        <v>193</v>
      </c>
      <c r="E54" s="2" t="s">
        <v>201</v>
      </c>
      <c r="F54" s="2">
        <v>780</v>
      </c>
    </row>
    <row r="55" spans="3:6" ht="14.25" thickBot="1" thickTop="1">
      <c r="C55" s="2"/>
      <c r="D55" s="2"/>
      <c r="E55" s="378" t="s">
        <v>173</v>
      </c>
      <c r="F55" s="378">
        <f>SUM(F48:F54)/7</f>
        <v>840</v>
      </c>
    </row>
    <row r="56" ht="13.5" thickTop="1"/>
    <row r="57" spans="1:5" ht="38.25">
      <c r="A57" s="373" t="s">
        <v>909</v>
      </c>
      <c r="B57" s="374" t="s">
        <v>890</v>
      </c>
      <c r="C57" s="374" t="s">
        <v>910</v>
      </c>
      <c r="D57" s="374" t="s">
        <v>911</v>
      </c>
      <c r="E57" s="376" t="s">
        <v>912</v>
      </c>
    </row>
    <row r="58" spans="1:5" ht="12.75">
      <c r="A58" t="s">
        <v>201</v>
      </c>
      <c r="B58" t="s">
        <v>193</v>
      </c>
      <c r="C58" s="13">
        <v>1</v>
      </c>
      <c r="D58" s="2">
        <v>0.84</v>
      </c>
      <c r="E58" s="377">
        <f>C58*D58*$B$63/1000</f>
        <v>1876.56</v>
      </c>
    </row>
    <row r="59" spans="1:5" ht="12.75">
      <c r="A59" t="s">
        <v>899</v>
      </c>
      <c r="B59" t="s">
        <v>193</v>
      </c>
      <c r="C59" s="13">
        <v>0</v>
      </c>
      <c r="D59" s="2" t="s">
        <v>13</v>
      </c>
      <c r="E59" s="377" t="s">
        <v>13</v>
      </c>
    </row>
    <row r="60" spans="1:5" ht="12.75">
      <c r="A60" t="s">
        <v>201</v>
      </c>
      <c r="B60" s="381" t="s">
        <v>321</v>
      </c>
      <c r="C60" s="13">
        <v>0.7</v>
      </c>
      <c r="D60" s="2">
        <v>0.5</v>
      </c>
      <c r="E60" s="377">
        <f>C60*D60*$B$64/1000</f>
        <v>73.5</v>
      </c>
    </row>
    <row r="61" spans="1:5" ht="12.75">
      <c r="A61" t="s">
        <v>899</v>
      </c>
      <c r="B61" s="381" t="s">
        <v>321</v>
      </c>
      <c r="C61" s="13">
        <v>0.3</v>
      </c>
      <c r="D61" s="2">
        <v>0.5</v>
      </c>
      <c r="E61" s="377">
        <f>C61*D61*$B$64/1000</f>
        <v>31.5</v>
      </c>
    </row>
    <row r="62" spans="2:3" ht="12.75">
      <c r="B62" s="381"/>
      <c r="C62" s="13"/>
    </row>
    <row r="63" spans="1:2" ht="12.75">
      <c r="A63" s="273" t="s">
        <v>948</v>
      </c>
      <c r="B63" s="31">
        <v>2234000</v>
      </c>
    </row>
    <row r="64" spans="1:2" ht="12.75">
      <c r="A64" s="273" t="s">
        <v>949</v>
      </c>
      <c r="B64" s="31">
        <v>210000</v>
      </c>
    </row>
  </sheetData>
  <sheetProtection/>
  <mergeCells count="2">
    <mergeCell ref="D2:E2"/>
    <mergeCell ref="D21:E21"/>
  </mergeCells>
  <printOptions/>
  <pageMargins left="0.75" right="0.75" top="1" bottom="1" header="0.5" footer="0.5"/>
  <pageSetup horizontalDpi="200" verticalDpi="200" orientation="portrait" r:id="rId3"/>
  <legacyDrawing r:id="rId2"/>
</worksheet>
</file>

<file path=xl/worksheets/sheet8.xml><?xml version="1.0" encoding="utf-8"?>
<worksheet xmlns="http://schemas.openxmlformats.org/spreadsheetml/2006/main" xmlns:r="http://schemas.openxmlformats.org/officeDocument/2006/relationships">
  <dimension ref="A1:J102"/>
  <sheetViews>
    <sheetView zoomScalePageLayoutView="0" workbookViewId="0" topLeftCell="A47">
      <selection activeCell="A48" sqref="A48"/>
    </sheetView>
  </sheetViews>
  <sheetFormatPr defaultColWidth="9.140625" defaultRowHeight="12.75" outlineLevelRow="1"/>
  <cols>
    <col min="1" max="1" width="29.421875" style="0" customWidth="1"/>
    <col min="2" max="2" width="15.421875" style="0" customWidth="1"/>
    <col min="3" max="3" width="15.28125" style="2" customWidth="1"/>
    <col min="4" max="4" width="17.8515625" style="2" customWidth="1"/>
    <col min="5" max="5" width="17.28125" style="2" customWidth="1"/>
    <col min="6" max="6" width="15.00390625" style="2" customWidth="1"/>
    <col min="7" max="7" width="15.00390625" style="0" customWidth="1"/>
    <col min="9" max="9" width="11.00390625" style="0" customWidth="1"/>
    <col min="10" max="10" width="9.140625" style="2" customWidth="1"/>
  </cols>
  <sheetData>
    <row r="1" spans="1:10" ht="18" customHeight="1">
      <c r="A1" s="393" t="s">
        <v>374</v>
      </c>
      <c r="B1" s="391" t="s">
        <v>375</v>
      </c>
      <c r="C1" s="303"/>
      <c r="D1" s="302"/>
      <c r="E1" s="302"/>
      <c r="F1" s="302"/>
      <c r="G1" s="302"/>
      <c r="J1"/>
    </row>
    <row r="2" spans="1:10" ht="12.75" customHeight="1">
      <c r="A2" s="393"/>
      <c r="B2" s="391"/>
      <c r="C2" s="303"/>
      <c r="D2" s="4"/>
      <c r="E2" s="4"/>
      <c r="F2" s="4"/>
      <c r="G2" s="4"/>
      <c r="J2"/>
    </row>
    <row r="3" spans="1:10" ht="12.75">
      <c r="A3" s="165" t="s">
        <v>392</v>
      </c>
      <c r="B3" s="2" t="s">
        <v>597</v>
      </c>
      <c r="J3"/>
    </row>
    <row r="4" spans="1:10" ht="12.75">
      <c r="A4" s="1" t="s">
        <v>377</v>
      </c>
      <c r="B4" s="3"/>
      <c r="C4" s="3"/>
      <c r="J4"/>
    </row>
    <row r="5" spans="1:10" ht="12.75" outlineLevel="1">
      <c r="A5" s="48" t="s">
        <v>108</v>
      </c>
      <c r="B5" s="2" t="s">
        <v>389</v>
      </c>
      <c r="J5"/>
    </row>
    <row r="6" spans="1:10" ht="12.75" outlineLevel="1">
      <c r="A6" s="162" t="s">
        <v>378</v>
      </c>
      <c r="B6" s="2" t="s">
        <v>389</v>
      </c>
      <c r="J6"/>
    </row>
    <row r="7" spans="1:10" ht="12.75" outlineLevel="1">
      <c r="A7" s="162" t="s">
        <v>379</v>
      </c>
      <c r="B7" s="2" t="s">
        <v>389</v>
      </c>
      <c r="J7"/>
    </row>
    <row r="8" spans="1:10" ht="12.75" outlineLevel="1">
      <c r="A8" s="162" t="s">
        <v>380</v>
      </c>
      <c r="B8" s="2" t="s">
        <v>389</v>
      </c>
      <c r="J8"/>
    </row>
    <row r="9" spans="1:10" ht="12.75" outlineLevel="1">
      <c r="A9" s="48" t="s">
        <v>381</v>
      </c>
      <c r="B9" s="2" t="s">
        <v>389</v>
      </c>
      <c r="J9"/>
    </row>
    <row r="10" spans="1:10" ht="12.75" outlineLevel="1">
      <c r="A10" s="162" t="s">
        <v>382</v>
      </c>
      <c r="B10" s="2" t="s">
        <v>389</v>
      </c>
      <c r="J10"/>
    </row>
    <row r="11" spans="1:10" ht="12.75" outlineLevel="1">
      <c r="A11" s="162" t="s">
        <v>383</v>
      </c>
      <c r="B11" s="2" t="s">
        <v>596</v>
      </c>
      <c r="J11"/>
    </row>
    <row r="12" spans="1:10" ht="12.75" outlineLevel="1">
      <c r="A12" s="162" t="s">
        <v>384</v>
      </c>
      <c r="B12" s="2" t="s">
        <v>389</v>
      </c>
      <c r="J12"/>
    </row>
    <row r="13" spans="1:10" ht="12.75" outlineLevel="1">
      <c r="A13" s="162" t="s">
        <v>385</v>
      </c>
      <c r="B13" s="2" t="s">
        <v>389</v>
      </c>
      <c r="J13"/>
    </row>
    <row r="14" spans="1:10" ht="12.75" outlineLevel="1">
      <c r="A14" s="48" t="s">
        <v>386</v>
      </c>
      <c r="B14" s="2" t="s">
        <v>387</v>
      </c>
      <c r="J14"/>
    </row>
    <row r="15" spans="1:10" ht="12.75" outlineLevel="1">
      <c r="A15" s="48" t="s">
        <v>388</v>
      </c>
      <c r="B15" s="2" t="s">
        <v>389</v>
      </c>
      <c r="J15"/>
    </row>
    <row r="16" spans="1:10" ht="12.75" outlineLevel="1">
      <c r="A16" s="163" t="s">
        <v>390</v>
      </c>
      <c r="B16" s="2" t="s">
        <v>391</v>
      </c>
      <c r="J16"/>
    </row>
    <row r="17" spans="1:10" ht="12.75">
      <c r="A17" s="1" t="s">
        <v>393</v>
      </c>
      <c r="B17" s="2"/>
      <c r="J17"/>
    </row>
    <row r="18" spans="1:10" ht="12.75" hidden="1" outlineLevel="1">
      <c r="A18" s="48" t="s">
        <v>394</v>
      </c>
      <c r="B18" s="2" t="s">
        <v>391</v>
      </c>
      <c r="J18"/>
    </row>
    <row r="19" spans="1:2" ht="12.75" hidden="1" outlineLevel="1">
      <c r="A19" s="48" t="s">
        <v>395</v>
      </c>
      <c r="B19" s="2" t="s">
        <v>391</v>
      </c>
    </row>
    <row r="20" spans="1:2" ht="12.75" hidden="1" outlineLevel="1">
      <c r="A20" s="48" t="s">
        <v>396</v>
      </c>
      <c r="B20" s="2" t="s">
        <v>391</v>
      </c>
    </row>
    <row r="21" spans="1:2" ht="12.75" hidden="1" outlineLevel="1">
      <c r="A21" s="48" t="s">
        <v>397</v>
      </c>
      <c r="B21" s="2" t="s">
        <v>391</v>
      </c>
    </row>
    <row r="22" spans="1:2" ht="12.75" hidden="1" outlineLevel="1">
      <c r="A22" s="48" t="s">
        <v>398</v>
      </c>
      <c r="B22" s="2" t="s">
        <v>399</v>
      </c>
    </row>
    <row r="23" spans="1:2" ht="12.75" hidden="1" outlineLevel="1">
      <c r="A23" s="48" t="s">
        <v>557</v>
      </c>
      <c r="B23" s="2" t="s">
        <v>389</v>
      </c>
    </row>
    <row r="24" spans="1:2" ht="12.75" hidden="1" outlineLevel="1">
      <c r="A24" s="48" t="s">
        <v>400</v>
      </c>
      <c r="B24" s="2" t="s">
        <v>391</v>
      </c>
    </row>
    <row r="25" spans="1:2" ht="12.75" hidden="1" outlineLevel="1">
      <c r="A25" s="48" t="s">
        <v>401</v>
      </c>
      <c r="B25" s="2" t="s">
        <v>402</v>
      </c>
    </row>
    <row r="26" spans="1:2" ht="12.75" hidden="1" outlineLevel="1">
      <c r="A26" s="48" t="s">
        <v>403</v>
      </c>
      <c r="B26" s="2" t="s">
        <v>13</v>
      </c>
    </row>
    <row r="27" spans="1:3" ht="12.75" collapsed="1">
      <c r="A27" s="164" t="s">
        <v>404</v>
      </c>
      <c r="B27" s="3"/>
      <c r="C27" s="3"/>
    </row>
    <row r="28" spans="1:2" ht="12.75" hidden="1" outlineLevel="1">
      <c r="A28" s="48" t="s">
        <v>405</v>
      </c>
      <c r="B28" s="2" t="s">
        <v>551</v>
      </c>
    </row>
    <row r="29" spans="1:2" ht="12.75" hidden="1" outlineLevel="1">
      <c r="A29" s="48" t="s">
        <v>406</v>
      </c>
      <c r="B29" s="2" t="s">
        <v>551</v>
      </c>
    </row>
    <row r="30" spans="1:2" ht="12.75" hidden="1" outlineLevel="1">
      <c r="A30" s="48" t="s">
        <v>407</v>
      </c>
      <c r="B30" s="2" t="s">
        <v>391</v>
      </c>
    </row>
    <row r="31" spans="1:2" ht="12.75" hidden="1" outlineLevel="1">
      <c r="A31" s="48" t="s">
        <v>408</v>
      </c>
      <c r="B31" s="2" t="s">
        <v>391</v>
      </c>
    </row>
    <row r="32" spans="1:8" ht="12.75" customHeight="1" collapsed="1" thickBot="1">
      <c r="A32" s="48"/>
      <c r="B32" s="48"/>
      <c r="H32" s="166"/>
    </row>
    <row r="33" spans="1:8" s="161" customFormat="1" ht="12.75" customHeight="1">
      <c r="A33" s="394" t="s">
        <v>409</v>
      </c>
      <c r="B33" s="395"/>
      <c r="C33" s="395"/>
      <c r="D33" s="395"/>
      <c r="E33" s="396"/>
      <c r="F33" s="166"/>
      <c r="G33" s="166"/>
      <c r="H33" s="160"/>
    </row>
    <row r="34" spans="1:10" ht="21" thickBot="1">
      <c r="A34" s="397" t="s">
        <v>410</v>
      </c>
      <c r="B34" s="398"/>
      <c r="C34" s="398"/>
      <c r="D34" s="398"/>
      <c r="E34" s="399"/>
      <c r="F34" s="160"/>
      <c r="G34" s="160"/>
      <c r="J34"/>
    </row>
    <row r="35" spans="1:10" ht="25.5">
      <c r="A35" s="291" t="s">
        <v>411</v>
      </c>
      <c r="B35" s="167"/>
      <c r="C35" s="167" t="s">
        <v>412</v>
      </c>
      <c r="D35" s="167" t="s">
        <v>413</v>
      </c>
      <c r="E35" s="167" t="s">
        <v>414</v>
      </c>
      <c r="F35"/>
      <c r="G35" s="2"/>
      <c r="J35"/>
    </row>
    <row r="36" spans="1:10" ht="12.75">
      <c r="A36" s="169" t="s">
        <v>415</v>
      </c>
      <c r="B36" s="168"/>
      <c r="C36" s="168" t="s">
        <v>416</v>
      </c>
      <c r="D36" s="168" t="s">
        <v>416</v>
      </c>
      <c r="E36" s="168" t="s">
        <v>416</v>
      </c>
      <c r="F36"/>
      <c r="G36" s="2"/>
      <c r="J36"/>
    </row>
    <row r="37" spans="1:10" ht="12.75">
      <c r="A37" s="256" t="s">
        <v>417</v>
      </c>
      <c r="B37" s="257" t="s">
        <v>391</v>
      </c>
      <c r="C37" s="257">
        <v>19</v>
      </c>
      <c r="D37" s="257">
        <v>356</v>
      </c>
      <c r="E37" s="257">
        <v>375</v>
      </c>
      <c r="F37"/>
      <c r="G37" s="2"/>
      <c r="J37"/>
    </row>
    <row r="38" spans="1:10" ht="12.75">
      <c r="A38" s="262" t="s">
        <v>418</v>
      </c>
      <c r="B38" s="400" t="s">
        <v>598</v>
      </c>
      <c r="C38" s="226">
        <v>27</v>
      </c>
      <c r="D38" s="226">
        <v>248</v>
      </c>
      <c r="E38" s="226">
        <v>275</v>
      </c>
      <c r="F38"/>
      <c r="G38" s="2"/>
      <c r="J38"/>
    </row>
    <row r="39" spans="1:10" ht="12.75">
      <c r="A39" s="262" t="s">
        <v>419</v>
      </c>
      <c r="B39" s="401"/>
      <c r="C39" s="226">
        <v>60</v>
      </c>
      <c r="D39" s="226">
        <v>240</v>
      </c>
      <c r="E39" s="226">
        <v>300</v>
      </c>
      <c r="F39"/>
      <c r="G39" s="2"/>
      <c r="J39"/>
    </row>
    <row r="40" spans="1:10" ht="12.75">
      <c r="A40" s="258" t="s">
        <v>420</v>
      </c>
      <c r="B40" s="402" t="s">
        <v>387</v>
      </c>
      <c r="C40" s="259">
        <v>50</v>
      </c>
      <c r="D40" s="259">
        <v>175</v>
      </c>
      <c r="E40" s="259">
        <v>225</v>
      </c>
      <c r="F40"/>
      <c r="G40" s="2"/>
      <c r="J40"/>
    </row>
    <row r="41" spans="1:10" ht="12.75">
      <c r="A41" s="258" t="s">
        <v>421</v>
      </c>
      <c r="B41" s="403"/>
      <c r="C41" s="259">
        <v>65</v>
      </c>
      <c r="D41" s="259">
        <v>55</v>
      </c>
      <c r="E41" s="259">
        <v>120</v>
      </c>
      <c r="F41"/>
      <c r="G41" s="2"/>
      <c r="J41"/>
    </row>
    <row r="42" spans="1:10" ht="12.75">
      <c r="A42" s="258" t="s">
        <v>422</v>
      </c>
      <c r="B42" s="403"/>
      <c r="C42" s="259">
        <v>92</v>
      </c>
      <c r="D42" s="259">
        <v>10</v>
      </c>
      <c r="E42" s="259">
        <v>102</v>
      </c>
      <c r="F42"/>
      <c r="G42" s="2"/>
      <c r="J42"/>
    </row>
    <row r="43" spans="1:10" ht="12.75">
      <c r="A43" s="258" t="s">
        <v>423</v>
      </c>
      <c r="B43" s="403"/>
      <c r="C43" s="259">
        <v>35</v>
      </c>
      <c r="D43" s="259">
        <v>0</v>
      </c>
      <c r="E43" s="259">
        <v>35</v>
      </c>
      <c r="F43"/>
      <c r="G43" s="2"/>
      <c r="J43"/>
    </row>
    <row r="44" spans="1:10" ht="13.5" thickBot="1">
      <c r="A44" s="260" t="s">
        <v>424</v>
      </c>
      <c r="B44" s="404"/>
      <c r="C44" s="261">
        <v>6</v>
      </c>
      <c r="D44" s="261">
        <v>0</v>
      </c>
      <c r="E44" s="261">
        <v>6</v>
      </c>
      <c r="F44"/>
      <c r="G44" s="2"/>
      <c r="J44"/>
    </row>
    <row r="45" spans="1:10" ht="13.5" thickBot="1">
      <c r="A45" s="170" t="s">
        <v>169</v>
      </c>
      <c r="B45" s="170"/>
      <c r="C45" s="227">
        <v>354</v>
      </c>
      <c r="D45" s="227">
        <v>1084</v>
      </c>
      <c r="E45" s="227">
        <v>1438</v>
      </c>
      <c r="F45"/>
      <c r="G45" s="2"/>
      <c r="J45"/>
    </row>
    <row r="46" spans="3:10" ht="12.75">
      <c r="C46" s="225"/>
      <c r="D46" s="225"/>
      <c r="E46" s="225"/>
      <c r="F46"/>
      <c r="G46" s="2"/>
      <c r="J46"/>
    </row>
    <row r="47" spans="1:10" ht="15.75">
      <c r="A47" s="265" t="s">
        <v>558</v>
      </c>
      <c r="B47" s="290"/>
      <c r="C47" s="225"/>
      <c r="D47" s="225"/>
      <c r="E47" s="225"/>
      <c r="F47"/>
      <c r="G47" s="2"/>
      <c r="J47"/>
    </row>
    <row r="48" spans="1:10" ht="12.75">
      <c r="A48" s="76" t="s">
        <v>552</v>
      </c>
      <c r="B48" s="103"/>
      <c r="C48" s="293" t="s">
        <v>416</v>
      </c>
      <c r="D48" s="293" t="s">
        <v>546</v>
      </c>
      <c r="E48" s="293" t="s">
        <v>344</v>
      </c>
      <c r="F48"/>
      <c r="G48" s="2"/>
      <c r="J48"/>
    </row>
    <row r="49" spans="1:10" ht="12.75">
      <c r="A49" s="294" t="s">
        <v>417</v>
      </c>
      <c r="B49" s="294"/>
      <c r="C49" s="293">
        <v>375</v>
      </c>
      <c r="D49" s="293">
        <v>60</v>
      </c>
      <c r="E49" s="78">
        <f>C49*D49</f>
        <v>22500</v>
      </c>
      <c r="F49"/>
      <c r="G49" s="2"/>
      <c r="J49"/>
    </row>
    <row r="50" spans="1:10" ht="12.75">
      <c r="A50" s="170"/>
      <c r="B50" s="170"/>
      <c r="C50" s="225"/>
      <c r="D50" s="225"/>
      <c r="E50" s="254">
        <f>E49/C49</f>
        <v>60</v>
      </c>
      <c r="F50"/>
      <c r="G50" s="2"/>
      <c r="J50"/>
    </row>
    <row r="51" spans="1:10" ht="12.75">
      <c r="A51" s="76" t="s">
        <v>553</v>
      </c>
      <c r="B51" s="103"/>
      <c r="C51" s="293" t="s">
        <v>416</v>
      </c>
      <c r="D51" s="293" t="s">
        <v>546</v>
      </c>
      <c r="E51" s="293" t="s">
        <v>344</v>
      </c>
      <c r="F51"/>
      <c r="G51" s="2"/>
      <c r="J51"/>
    </row>
    <row r="52" spans="1:10" ht="12.75">
      <c r="A52" s="294" t="s">
        <v>418</v>
      </c>
      <c r="B52" s="294"/>
      <c r="C52" s="293">
        <v>275</v>
      </c>
      <c r="D52" s="293">
        <v>230</v>
      </c>
      <c r="E52" s="78">
        <f>C52*D52</f>
        <v>63250</v>
      </c>
      <c r="F52"/>
      <c r="G52" s="2"/>
      <c r="J52"/>
    </row>
    <row r="53" spans="1:10" ht="12.75">
      <c r="A53" s="294" t="s">
        <v>419</v>
      </c>
      <c r="B53" s="294"/>
      <c r="C53" s="293">
        <v>300</v>
      </c>
      <c r="D53" s="293">
        <v>439</v>
      </c>
      <c r="E53" s="78">
        <f>C53*D53</f>
        <v>131700</v>
      </c>
      <c r="F53"/>
      <c r="G53" s="2"/>
      <c r="J53"/>
    </row>
    <row r="54" spans="1:7" ht="12.75">
      <c r="A54" s="170"/>
      <c r="B54" s="170"/>
      <c r="C54" s="293">
        <f>SUM(C52:C53)</f>
        <v>575</v>
      </c>
      <c r="D54" s="293" t="s">
        <v>13</v>
      </c>
      <c r="E54" s="293">
        <f>SUM(E52:E53)</f>
        <v>194950</v>
      </c>
      <c r="F54"/>
      <c r="G54" s="2"/>
    </row>
    <row r="55" spans="3:10" ht="12.75">
      <c r="C55" s="225"/>
      <c r="D55" s="225"/>
      <c r="E55" s="254">
        <f>E54/C54</f>
        <v>339.04347826086956</v>
      </c>
      <c r="H55" s="2"/>
      <c r="J55"/>
    </row>
    <row r="56" spans="1:10" ht="12.75">
      <c r="A56" s="76" t="s">
        <v>613</v>
      </c>
      <c r="B56" s="103"/>
      <c r="C56" s="293" t="s">
        <v>416</v>
      </c>
      <c r="D56" s="293" t="s">
        <v>546</v>
      </c>
      <c r="E56" s="293" t="s">
        <v>344</v>
      </c>
      <c r="H56" s="2"/>
      <c r="J56"/>
    </row>
    <row r="57" spans="1:10" ht="12.75">
      <c r="A57" s="294" t="s">
        <v>420</v>
      </c>
      <c r="B57" s="294"/>
      <c r="C57" s="293">
        <v>225</v>
      </c>
      <c r="D57" s="78">
        <v>614</v>
      </c>
      <c r="E57" s="78">
        <f>C57*D57</f>
        <v>138150</v>
      </c>
      <c r="F57"/>
      <c r="H57" s="2"/>
      <c r="J57"/>
    </row>
    <row r="58" spans="1:10" ht="12.75">
      <c r="A58" s="294" t="s">
        <v>421</v>
      </c>
      <c r="B58" s="294"/>
      <c r="C58" s="293">
        <v>120</v>
      </c>
      <c r="D58" s="78">
        <v>878</v>
      </c>
      <c r="E58" s="78">
        <f>C58*D58</f>
        <v>105360</v>
      </c>
      <c r="F58"/>
      <c r="H58" s="2"/>
      <c r="J58"/>
    </row>
    <row r="59" spans="1:10" ht="12.75">
      <c r="A59" s="294" t="s">
        <v>422</v>
      </c>
      <c r="B59" s="294"/>
      <c r="C59" s="293">
        <v>102</v>
      </c>
      <c r="D59" s="78">
        <v>1402</v>
      </c>
      <c r="E59" s="78">
        <f>C59*D59</f>
        <v>143004</v>
      </c>
      <c r="F59"/>
      <c r="H59" s="2"/>
      <c r="J59"/>
    </row>
    <row r="60" spans="1:10" ht="12.75">
      <c r="A60" s="294" t="s">
        <v>423</v>
      </c>
      <c r="B60" s="294"/>
      <c r="C60" s="293">
        <v>35</v>
      </c>
      <c r="D60" s="78">
        <v>2634</v>
      </c>
      <c r="E60" s="78">
        <f>C60*D60</f>
        <v>92190</v>
      </c>
      <c r="F60"/>
      <c r="H60" s="2"/>
      <c r="J60"/>
    </row>
    <row r="61" spans="1:6" ht="12.75">
      <c r="A61" s="294" t="s">
        <v>424</v>
      </c>
      <c r="B61" s="294"/>
      <c r="C61" s="293">
        <v>6</v>
      </c>
      <c r="D61" s="78">
        <v>5276</v>
      </c>
      <c r="E61" s="78">
        <f>C61*D61</f>
        <v>31656</v>
      </c>
      <c r="F61"/>
    </row>
    <row r="62" spans="3:5" ht="12.75">
      <c r="C62" s="78">
        <f>SUM(C57:C61)</f>
        <v>488</v>
      </c>
      <c r="D62" s="78" t="s">
        <v>13</v>
      </c>
      <c r="E62" s="78">
        <f>SUM(E57:E61)</f>
        <v>510360</v>
      </c>
    </row>
    <row r="63" ht="12.75">
      <c r="E63" s="6">
        <f>E62/C62</f>
        <v>1045.8196721311476</v>
      </c>
    </row>
    <row r="64" ht="12.75"/>
    <row r="65" spans="1:6" ht="12.75">
      <c r="A65" s="9"/>
      <c r="B65" s="293" t="s">
        <v>416</v>
      </c>
      <c r="C65" s="293" t="s">
        <v>546</v>
      </c>
      <c r="D65" s="293" t="s">
        <v>344</v>
      </c>
      <c r="E65" s="245" t="s">
        <v>614</v>
      </c>
      <c r="F65" s="78" t="s">
        <v>147</v>
      </c>
    </row>
    <row r="66" spans="1:7" ht="12.75">
      <c r="A66" s="9" t="s">
        <v>605</v>
      </c>
      <c r="B66" s="229">
        <f>0.5*375</f>
        <v>187.5</v>
      </c>
      <c r="C66" s="78">
        <v>60</v>
      </c>
      <c r="D66" s="81">
        <f>C66*B66</f>
        <v>11250</v>
      </c>
      <c r="E66" s="78">
        <v>15</v>
      </c>
      <c r="F66" s="229">
        <v>2800</v>
      </c>
      <c r="G66" s="2"/>
    </row>
    <row r="67" spans="1:6" ht="12.75">
      <c r="A67" s="9" t="s">
        <v>606</v>
      </c>
      <c r="B67" s="229">
        <f>575/3</f>
        <v>191.66666666666666</v>
      </c>
      <c r="C67" s="78">
        <v>339</v>
      </c>
      <c r="D67" s="81">
        <f>C67*B67</f>
        <v>64975</v>
      </c>
      <c r="E67" s="78">
        <v>20</v>
      </c>
      <c r="F67" s="78">
        <v>2900</v>
      </c>
    </row>
    <row r="68" spans="1:6" ht="12.75">
      <c r="A68" s="9" t="s">
        <v>608</v>
      </c>
      <c r="B68" s="229">
        <f>488*0.075</f>
        <v>36.6</v>
      </c>
      <c r="C68" s="78">
        <v>1046</v>
      </c>
      <c r="D68" s="81">
        <f>C68*B68</f>
        <v>38283.6</v>
      </c>
      <c r="E68" s="78">
        <v>25</v>
      </c>
      <c r="F68" s="78">
        <v>600</v>
      </c>
    </row>
    <row r="69" spans="2:6" ht="12.75">
      <c r="B69" s="6">
        <f>SUM(B66:B68)</f>
        <v>415.76666666666665</v>
      </c>
      <c r="D69" s="31">
        <f>SUM(D66:D68)/B69</f>
        <v>275.41553756113206</v>
      </c>
      <c r="F69" s="297">
        <f>SUM(F66:F68)</f>
        <v>6300</v>
      </c>
    </row>
    <row r="70" spans="1:6" ht="12.75">
      <c r="A70" s="9" t="s">
        <v>607</v>
      </c>
      <c r="B70" s="229">
        <f>0.5*375</f>
        <v>187.5</v>
      </c>
      <c r="C70" s="78">
        <v>60</v>
      </c>
      <c r="D70" s="81">
        <f>C70*B70</f>
        <v>11250</v>
      </c>
      <c r="E70" s="78">
        <v>15</v>
      </c>
      <c r="F70" s="229">
        <v>2800</v>
      </c>
    </row>
    <row r="71" spans="1:6" ht="12.75">
      <c r="A71" s="9" t="s">
        <v>611</v>
      </c>
      <c r="B71" s="229">
        <f>575/3</f>
        <v>191.66666666666666</v>
      </c>
      <c r="C71" s="78">
        <v>339</v>
      </c>
      <c r="D71" s="81">
        <f>C71*B71</f>
        <v>64975</v>
      </c>
      <c r="E71" s="78">
        <v>20</v>
      </c>
      <c r="F71" s="78">
        <v>2900</v>
      </c>
    </row>
    <row r="72" spans="1:6" ht="12.75">
      <c r="A72" s="9" t="s">
        <v>612</v>
      </c>
      <c r="B72" s="229">
        <f>488*0.075</f>
        <v>36.6</v>
      </c>
      <c r="C72" s="78">
        <v>1046</v>
      </c>
      <c r="D72" s="81">
        <f>C72*B72</f>
        <v>38283.6</v>
      </c>
      <c r="E72" s="78">
        <v>25</v>
      </c>
      <c r="F72" s="78">
        <v>600</v>
      </c>
    </row>
    <row r="73" spans="2:6" ht="12.75">
      <c r="B73" s="6">
        <f>SUM(B70:B72)</f>
        <v>415.76666666666665</v>
      </c>
      <c r="D73" s="31">
        <f>SUM(D70:D72)/B73</f>
        <v>275.41553756113206</v>
      </c>
      <c r="F73" s="297">
        <f>SUM(F70:F72)</f>
        <v>6300</v>
      </c>
    </row>
    <row r="74" spans="1:6" ht="12.75">
      <c r="A74" s="9" t="s">
        <v>609</v>
      </c>
      <c r="B74" s="229">
        <f>575/3</f>
        <v>191.66666666666666</v>
      </c>
      <c r="C74" s="78">
        <v>339</v>
      </c>
      <c r="D74" s="78"/>
      <c r="E74" s="78">
        <v>20</v>
      </c>
      <c r="F74" s="78">
        <v>2900</v>
      </c>
    </row>
    <row r="75" spans="1:6" ht="12.75">
      <c r="A75" s="9" t="s">
        <v>610</v>
      </c>
      <c r="B75" s="229">
        <f>0.85*488</f>
        <v>414.8</v>
      </c>
      <c r="C75" s="78">
        <v>1046</v>
      </c>
      <c r="D75" s="78"/>
      <c r="E75" s="78">
        <v>25</v>
      </c>
      <c r="F75" s="78">
        <v>6950</v>
      </c>
    </row>
    <row r="76" spans="2:6" ht="12.75">
      <c r="B76" s="6">
        <f>SUM(B74:B75)</f>
        <v>606.4666666666667</v>
      </c>
      <c r="C76"/>
      <c r="F76" s="3">
        <f>SUM(F74:F75)</f>
        <v>9850</v>
      </c>
    </row>
    <row r="77" spans="1:6" ht="12.75">
      <c r="A77" s="1" t="s">
        <v>854</v>
      </c>
      <c r="F77" s="297">
        <f>F76+F73+F69</f>
        <v>22450</v>
      </c>
    </row>
    <row r="78" ht="12.75"/>
    <row r="79" spans="1:10" ht="15.75">
      <c r="A79" s="97" t="s">
        <v>602</v>
      </c>
      <c r="C79"/>
      <c r="D79"/>
      <c r="E79"/>
      <c r="F79"/>
      <c r="J79"/>
    </row>
    <row r="80" spans="1:10" ht="12.75">
      <c r="A80" s="389"/>
      <c r="B80" s="388" t="s">
        <v>445</v>
      </c>
      <c r="C80"/>
      <c r="D80"/>
      <c r="E80"/>
      <c r="F80"/>
      <c r="J80"/>
    </row>
    <row r="81" spans="1:10" ht="12.75">
      <c r="A81" s="390"/>
      <c r="B81" s="388"/>
      <c r="C81"/>
      <c r="D81"/>
      <c r="E81"/>
      <c r="F81"/>
      <c r="J81"/>
    </row>
    <row r="82" spans="1:10" ht="12.75" hidden="1" outlineLevel="1">
      <c r="A82" s="1" t="s">
        <v>555</v>
      </c>
      <c r="C82"/>
      <c r="D82"/>
      <c r="E82"/>
      <c r="F82"/>
      <c r="J82"/>
    </row>
    <row r="83" spans="1:10" ht="12.75" hidden="1" outlineLevel="1">
      <c r="A83" s="144" t="s">
        <v>348</v>
      </c>
      <c r="B83" s="154">
        <f>B99</f>
        <v>8</v>
      </c>
      <c r="C83"/>
      <c r="D83"/>
      <c r="E83"/>
      <c r="F83"/>
      <c r="J83"/>
    </row>
    <row r="84" spans="1:10" ht="12.75" hidden="1" outlineLevel="1">
      <c r="A84" s="129" t="s">
        <v>147</v>
      </c>
      <c r="B84" s="81">
        <f>B98</f>
        <v>6300</v>
      </c>
      <c r="C84"/>
      <c r="D84"/>
      <c r="E84"/>
      <c r="F84"/>
      <c r="J84"/>
    </row>
    <row r="85" spans="1:10" ht="12.75" hidden="1" outlineLevel="1">
      <c r="A85" s="9" t="s">
        <v>331</v>
      </c>
      <c r="B85" s="81">
        <f>B84*B83*365</f>
        <v>18396000</v>
      </c>
      <c r="C85"/>
      <c r="D85"/>
      <c r="E85"/>
      <c r="F85"/>
      <c r="J85"/>
    </row>
    <row r="86" spans="1:10" ht="12.75" collapsed="1">
      <c r="A86" s="155" t="s">
        <v>619</v>
      </c>
      <c r="B86" s="81">
        <f>$B$97/$B$96*B85</f>
        <v>1688848076.3248618</v>
      </c>
      <c r="C86"/>
      <c r="D86"/>
      <c r="E86"/>
      <c r="F86"/>
      <c r="J86"/>
    </row>
    <row r="87" spans="1:10" ht="12.75" hidden="1" outlineLevel="1">
      <c r="A87" s="1" t="s">
        <v>618</v>
      </c>
      <c r="B87" s="230"/>
      <c r="C87"/>
      <c r="D87"/>
      <c r="E87"/>
      <c r="F87"/>
      <c r="J87"/>
    </row>
    <row r="88" spans="1:10" ht="12.75" hidden="1" outlineLevel="1">
      <c r="A88" s="232" t="s">
        <v>348</v>
      </c>
      <c r="B88" s="233">
        <f>C99</f>
        <v>10</v>
      </c>
      <c r="C88"/>
      <c r="D88"/>
      <c r="E88"/>
      <c r="F88"/>
      <c r="J88"/>
    </row>
    <row r="89" spans="1:10" ht="12.75" hidden="1" outlineLevel="1">
      <c r="A89" s="202" t="s">
        <v>147</v>
      </c>
      <c r="B89" s="77">
        <f>C98</f>
        <v>6300</v>
      </c>
      <c r="C89"/>
      <c r="D89"/>
      <c r="E89"/>
      <c r="F89"/>
      <c r="J89"/>
    </row>
    <row r="90" spans="1:10" ht="12.75" hidden="1" outlineLevel="1">
      <c r="A90" s="76" t="s">
        <v>331</v>
      </c>
      <c r="B90" s="77">
        <f>B89*B88*365</f>
        <v>22995000</v>
      </c>
      <c r="C90"/>
      <c r="D90"/>
      <c r="E90"/>
      <c r="F90"/>
      <c r="J90"/>
    </row>
    <row r="91" spans="1:10" ht="12.75" collapsed="1">
      <c r="A91" s="155" t="s">
        <v>620</v>
      </c>
      <c r="B91" s="77">
        <f>$C$97/$C$96*B90</f>
        <v>2111060095.4060771</v>
      </c>
      <c r="C91"/>
      <c r="D91"/>
      <c r="E91"/>
      <c r="F91"/>
      <c r="J91"/>
    </row>
    <row r="92" spans="2:10" ht="12.75">
      <c r="B92" s="156"/>
      <c r="C92" s="156"/>
      <c r="D92" s="156"/>
      <c r="E92" s="156"/>
      <c r="F92" s="156"/>
      <c r="J92"/>
    </row>
    <row r="93" spans="3:10" ht="12.75">
      <c r="C93"/>
      <c r="D93"/>
      <c r="E93"/>
      <c r="F93"/>
      <c r="J93"/>
    </row>
    <row r="94" spans="1:10" ht="12.75">
      <c r="A94" s="1" t="s">
        <v>319</v>
      </c>
      <c r="C94"/>
      <c r="D94"/>
      <c r="E94"/>
      <c r="F94"/>
      <c r="J94"/>
    </row>
    <row r="95" spans="1:10" ht="25.5">
      <c r="A95" s="103"/>
      <c r="B95" s="205" t="s">
        <v>603</v>
      </c>
      <c r="C95" s="264" t="s">
        <v>604</v>
      </c>
      <c r="D95"/>
      <c r="E95"/>
      <c r="F95"/>
      <c r="J95"/>
    </row>
    <row r="96" spans="1:10" ht="12.75">
      <c r="A96" s="102" t="s">
        <v>323</v>
      </c>
      <c r="B96" s="136">
        <v>3</v>
      </c>
      <c r="C96" s="136">
        <v>3</v>
      </c>
      <c r="D96"/>
      <c r="E96"/>
      <c r="F96"/>
      <c r="J96"/>
    </row>
    <row r="97" spans="1:10" ht="12.75">
      <c r="A97" s="102" t="s">
        <v>326</v>
      </c>
      <c r="B97" s="136">
        <f>D69</f>
        <v>275.41553756113206</v>
      </c>
      <c r="C97" s="136">
        <f>D73</f>
        <v>275.41553756113206</v>
      </c>
      <c r="D97"/>
      <c r="E97"/>
      <c r="F97"/>
      <c r="J97"/>
    </row>
    <row r="98" spans="1:10" ht="12.75">
      <c r="A98" s="102" t="s">
        <v>147</v>
      </c>
      <c r="B98" s="81">
        <v>6300</v>
      </c>
      <c r="C98" s="81">
        <v>6300</v>
      </c>
      <c r="D98"/>
      <c r="E98"/>
      <c r="F98"/>
      <c r="J98"/>
    </row>
    <row r="99" spans="1:10" ht="12.75">
      <c r="A99" s="140" t="s">
        <v>556</v>
      </c>
      <c r="B99" s="263">
        <v>8</v>
      </c>
      <c r="C99" s="263">
        <v>10</v>
      </c>
      <c r="D99"/>
      <c r="E99"/>
      <c r="F99"/>
      <c r="J99"/>
    </row>
    <row r="100" spans="3:10" ht="12.75">
      <c r="C100"/>
      <c r="D100"/>
      <c r="E100"/>
      <c r="F100"/>
      <c r="J100"/>
    </row>
    <row r="101" spans="3:10" ht="12.75">
      <c r="C101"/>
      <c r="D101"/>
      <c r="E101"/>
      <c r="F101"/>
      <c r="J101"/>
    </row>
    <row r="102" spans="3:10" ht="12.75">
      <c r="C102"/>
      <c r="D102"/>
      <c r="E102"/>
      <c r="F102"/>
      <c r="J102"/>
    </row>
  </sheetData>
  <sheetProtection/>
  <mergeCells count="8">
    <mergeCell ref="A80:A81"/>
    <mergeCell ref="B80:B81"/>
    <mergeCell ref="A1:A2"/>
    <mergeCell ref="B1:B2"/>
    <mergeCell ref="A33:E33"/>
    <mergeCell ref="A34:E34"/>
    <mergeCell ref="B38:B39"/>
    <mergeCell ref="B40:B44"/>
  </mergeCells>
  <printOptions/>
  <pageMargins left="0.75" right="0.75" top="1" bottom="1" header="0.5" footer="0.5"/>
  <pageSetup horizontalDpi="200" verticalDpi="200" orientation="portrait" r:id="rId4"/>
  <ignoredErrors>
    <ignoredError sqref="D69" formula="1"/>
  </ignoredError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A1" sqref="A1"/>
    </sheetView>
  </sheetViews>
  <sheetFormatPr defaultColWidth="9.140625" defaultRowHeight="12.75"/>
  <cols>
    <col min="13" max="13" width="9.8515625" style="0" customWidth="1"/>
  </cols>
  <sheetData>
    <row r="1" ht="15.75">
      <c r="A1" s="97" t="s">
        <v>107</v>
      </c>
    </row>
    <row r="6" spans="1:13" ht="12.75">
      <c r="A6" s="42" t="s">
        <v>132</v>
      </c>
      <c r="B6" s="36"/>
      <c r="C6" s="38"/>
      <c r="D6" s="35"/>
      <c r="E6" s="36"/>
      <c r="F6" s="37"/>
      <c r="G6" s="35"/>
      <c r="H6" s="36"/>
      <c r="I6" s="37"/>
      <c r="J6" s="35"/>
      <c r="K6" s="36"/>
      <c r="L6" s="35"/>
      <c r="M6" s="36"/>
    </row>
    <row r="7" spans="1:13" ht="12.75">
      <c r="A7" s="60" t="s">
        <v>109</v>
      </c>
      <c r="B7" s="62"/>
      <c r="C7" s="63" t="s">
        <v>117</v>
      </c>
      <c r="D7" s="60" t="s">
        <v>108</v>
      </c>
      <c r="E7" s="62"/>
      <c r="F7" s="63" t="s">
        <v>117</v>
      </c>
      <c r="G7" s="64" t="s">
        <v>115</v>
      </c>
      <c r="H7" s="62"/>
      <c r="I7" s="63" t="s">
        <v>117</v>
      </c>
      <c r="J7" s="60" t="s">
        <v>495</v>
      </c>
      <c r="K7" s="62"/>
      <c r="L7" s="60" t="s">
        <v>133</v>
      </c>
      <c r="M7" s="62"/>
    </row>
    <row r="8" spans="1:13" ht="12.75">
      <c r="A8" s="60" t="s">
        <v>110</v>
      </c>
      <c r="B8" s="62"/>
      <c r="C8" s="63" t="s">
        <v>119</v>
      </c>
      <c r="D8" s="60" t="s">
        <v>112</v>
      </c>
      <c r="E8" s="62"/>
      <c r="F8" s="63" t="s">
        <v>119</v>
      </c>
      <c r="G8" s="64" t="s">
        <v>180</v>
      </c>
      <c r="H8" s="62"/>
      <c r="I8" s="63" t="s">
        <v>119</v>
      </c>
      <c r="J8" s="60" t="s">
        <v>261</v>
      </c>
      <c r="K8" s="62"/>
      <c r="L8" s="60" t="s">
        <v>134</v>
      </c>
      <c r="M8" s="62"/>
    </row>
    <row r="9" spans="1:13" ht="12.75">
      <c r="A9" s="60" t="s">
        <v>111</v>
      </c>
      <c r="B9" s="62"/>
      <c r="C9" s="63" t="s">
        <v>118</v>
      </c>
      <c r="D9" s="60" t="s">
        <v>113</v>
      </c>
      <c r="E9" s="62"/>
      <c r="F9" s="63" t="s">
        <v>118</v>
      </c>
      <c r="G9" s="64" t="s">
        <v>181</v>
      </c>
      <c r="H9" s="62"/>
      <c r="I9" s="63" t="s">
        <v>118</v>
      </c>
      <c r="J9" s="60" t="s">
        <v>496</v>
      </c>
      <c r="K9" s="62"/>
      <c r="L9" s="60" t="s">
        <v>135</v>
      </c>
      <c r="M9" s="62"/>
    </row>
    <row r="10" spans="1:13" ht="12.75">
      <c r="A10" s="65" t="s">
        <v>150</v>
      </c>
      <c r="B10" s="62"/>
      <c r="C10" s="63" t="s">
        <v>120</v>
      </c>
      <c r="D10" s="61" t="s">
        <v>660</v>
      </c>
      <c r="E10" s="62"/>
      <c r="F10" s="63" t="s">
        <v>120</v>
      </c>
      <c r="G10" s="60" t="s">
        <v>182</v>
      </c>
      <c r="H10" s="62"/>
      <c r="I10" s="63" t="s">
        <v>120</v>
      </c>
      <c r="J10" s="61" t="s">
        <v>497</v>
      </c>
      <c r="K10" s="62"/>
      <c r="L10" s="60" t="s">
        <v>136</v>
      </c>
      <c r="M10" s="62"/>
    </row>
    <row r="11" spans="1:13" ht="12.75">
      <c r="A11" s="60" t="s">
        <v>151</v>
      </c>
      <c r="B11" s="62"/>
      <c r="C11" s="63" t="s">
        <v>123</v>
      </c>
      <c r="D11" s="64" t="s">
        <v>183</v>
      </c>
      <c r="E11" s="62"/>
      <c r="F11" s="63" t="s">
        <v>123</v>
      </c>
      <c r="G11" s="65" t="s">
        <v>498</v>
      </c>
      <c r="H11" s="62"/>
      <c r="I11" s="63" t="s">
        <v>123</v>
      </c>
      <c r="J11" s="60" t="s">
        <v>137</v>
      </c>
      <c r="K11" s="62"/>
      <c r="L11" s="64"/>
      <c r="M11" s="62"/>
    </row>
    <row r="12" spans="1:13" ht="12.75">
      <c r="A12" s="60" t="s">
        <v>661</v>
      </c>
      <c r="B12" s="62"/>
      <c r="C12" s="66"/>
      <c r="D12" s="60" t="s">
        <v>127</v>
      </c>
      <c r="E12" s="62"/>
      <c r="G12" s="60" t="s">
        <v>499</v>
      </c>
      <c r="H12" s="62"/>
      <c r="I12" s="63"/>
      <c r="J12" s="65" t="s">
        <v>500</v>
      </c>
      <c r="K12" s="62"/>
      <c r="L12" s="60"/>
      <c r="M12" s="62"/>
    </row>
    <row r="13" spans="1:13" ht="12.75">
      <c r="A13" s="60"/>
      <c r="B13" s="62"/>
      <c r="C13" s="66"/>
      <c r="D13" s="60"/>
      <c r="E13" s="62"/>
      <c r="G13" s="60"/>
      <c r="H13" s="62"/>
      <c r="I13" s="63"/>
      <c r="J13" s="60"/>
      <c r="K13" s="241"/>
      <c r="L13" s="60"/>
      <c r="M13" s="62"/>
    </row>
    <row r="14" spans="1:13" ht="12.75">
      <c r="A14" s="42" t="s">
        <v>131</v>
      </c>
      <c r="B14" s="36"/>
      <c r="C14" s="38"/>
      <c r="D14" s="35"/>
      <c r="E14" s="36"/>
      <c r="F14" s="37"/>
      <c r="G14" s="35"/>
      <c r="H14" s="36"/>
      <c r="I14" s="37"/>
      <c r="J14" s="35"/>
      <c r="K14" s="36"/>
      <c r="L14" s="35"/>
      <c r="M14" s="36"/>
    </row>
    <row r="15" spans="1:13" ht="12.75">
      <c r="A15" s="60" t="s">
        <v>94</v>
      </c>
      <c r="B15" s="62"/>
      <c r="C15" s="61" t="s">
        <v>122</v>
      </c>
      <c r="D15" s="60" t="s">
        <v>114</v>
      </c>
      <c r="E15" s="62"/>
      <c r="F15" s="61" t="s">
        <v>122</v>
      </c>
      <c r="G15" s="60" t="s">
        <v>376</v>
      </c>
      <c r="H15" s="62"/>
      <c r="I15" s="61" t="s">
        <v>122</v>
      </c>
      <c r="J15" s="60" t="s">
        <v>493</v>
      </c>
      <c r="K15" s="62"/>
      <c r="L15" s="60" t="s">
        <v>143</v>
      </c>
      <c r="M15" s="62"/>
    </row>
    <row r="16" spans="1:13" ht="12.75">
      <c r="A16" s="60" t="s">
        <v>126</v>
      </c>
      <c r="B16" s="62"/>
      <c r="C16" s="63" t="s">
        <v>491</v>
      </c>
      <c r="D16" s="60" t="s">
        <v>94</v>
      </c>
      <c r="E16" s="62"/>
      <c r="F16" s="63" t="s">
        <v>491</v>
      </c>
      <c r="G16" s="60" t="s">
        <v>124</v>
      </c>
      <c r="H16" s="62"/>
      <c r="I16" s="63" t="s">
        <v>491</v>
      </c>
      <c r="J16" s="60" t="s">
        <v>124</v>
      </c>
      <c r="K16" s="62"/>
      <c r="L16" s="60" t="s">
        <v>139</v>
      </c>
      <c r="M16" s="62"/>
    </row>
    <row r="17" spans="1:13" ht="12.75">
      <c r="A17" s="65" t="s">
        <v>573</v>
      </c>
      <c r="B17" s="62"/>
      <c r="C17" s="61" t="s">
        <v>492</v>
      </c>
      <c r="D17" s="65" t="s">
        <v>490</v>
      </c>
      <c r="E17" s="62"/>
      <c r="F17" s="61" t="s">
        <v>492</v>
      </c>
      <c r="G17" s="60"/>
      <c r="H17" s="62"/>
      <c r="I17" s="61" t="s">
        <v>492</v>
      </c>
      <c r="J17" s="60" t="s">
        <v>125</v>
      </c>
      <c r="K17" s="62"/>
      <c r="L17" s="60" t="s">
        <v>501</v>
      </c>
      <c r="M17" s="62"/>
    </row>
    <row r="18" spans="1:13" ht="12.75">
      <c r="A18" s="60" t="s">
        <v>116</v>
      </c>
      <c r="B18" s="62"/>
      <c r="C18" s="63" t="s">
        <v>494</v>
      </c>
      <c r="D18" s="60" t="s">
        <v>126</v>
      </c>
      <c r="E18" s="62"/>
      <c r="F18" s="63" t="s">
        <v>494</v>
      </c>
      <c r="G18" s="60"/>
      <c r="H18" s="62"/>
      <c r="I18" s="63" t="s">
        <v>494</v>
      </c>
      <c r="J18" s="60" t="s">
        <v>129</v>
      </c>
      <c r="K18" s="62"/>
      <c r="L18" s="60"/>
      <c r="M18" s="62"/>
    </row>
    <row r="19" spans="1:13" ht="12.75">
      <c r="A19" s="60"/>
      <c r="B19" s="62"/>
      <c r="C19" s="63" t="s">
        <v>121</v>
      </c>
      <c r="D19" s="60" t="s">
        <v>376</v>
      </c>
      <c r="E19" s="62"/>
      <c r="F19" s="63" t="s">
        <v>121</v>
      </c>
      <c r="G19" s="60"/>
      <c r="H19" s="62"/>
      <c r="I19" s="63" t="s">
        <v>121</v>
      </c>
      <c r="J19" s="60" t="s">
        <v>130</v>
      </c>
      <c r="K19" s="62"/>
      <c r="L19" s="60"/>
      <c r="M19" s="62"/>
    </row>
    <row r="20" spans="1:13" ht="12.75">
      <c r="A20" s="60"/>
      <c r="B20" s="62"/>
      <c r="C20" s="66"/>
      <c r="D20" s="60" t="s">
        <v>124</v>
      </c>
      <c r="E20" s="62"/>
      <c r="F20" s="63"/>
      <c r="G20" s="60"/>
      <c r="H20" s="62"/>
      <c r="I20" s="63"/>
      <c r="J20" s="60" t="s">
        <v>137</v>
      </c>
      <c r="K20" s="62"/>
      <c r="L20" s="60"/>
      <c r="M20" s="62"/>
    </row>
    <row r="21" spans="1:13" ht="12.75">
      <c r="A21" s="60"/>
      <c r="B21" s="62"/>
      <c r="C21" s="66"/>
      <c r="D21" s="60"/>
      <c r="E21" s="62"/>
      <c r="F21" s="63"/>
      <c r="G21" s="60"/>
      <c r="H21" s="62"/>
      <c r="I21" s="63"/>
      <c r="J21" s="60" t="s">
        <v>128</v>
      </c>
      <c r="K21" s="62"/>
      <c r="L21" s="60"/>
      <c r="M21" s="62"/>
    </row>
    <row r="22" spans="1:13" ht="12.75">
      <c r="A22" s="60"/>
      <c r="B22" s="62"/>
      <c r="C22" s="66"/>
      <c r="D22" s="60"/>
      <c r="E22" s="62"/>
      <c r="F22" s="63"/>
      <c r="G22" s="60"/>
      <c r="H22" s="62"/>
      <c r="I22" s="63"/>
      <c r="J22" s="60" t="s">
        <v>138</v>
      </c>
      <c r="K22" s="62"/>
      <c r="L22" s="60"/>
      <c r="M22" s="62"/>
    </row>
    <row r="23" spans="1:13" ht="12.75">
      <c r="A23" s="424" t="s">
        <v>625</v>
      </c>
      <c r="B23" s="425"/>
      <c r="C23" s="70" t="s">
        <v>153</v>
      </c>
      <c r="D23" s="424" t="s">
        <v>625</v>
      </c>
      <c r="E23" s="425"/>
      <c r="F23" s="70" t="s">
        <v>153</v>
      </c>
      <c r="G23" s="431" t="s">
        <v>626</v>
      </c>
      <c r="H23" s="432"/>
      <c r="I23" s="70" t="s">
        <v>153</v>
      </c>
      <c r="J23" s="424" t="s">
        <v>554</v>
      </c>
      <c r="K23" s="425"/>
      <c r="L23" s="429" t="s">
        <v>624</v>
      </c>
      <c r="M23" s="430"/>
    </row>
    <row r="24" spans="1:14" ht="12.75" customHeight="1">
      <c r="A24" s="408" t="s">
        <v>652</v>
      </c>
      <c r="B24" s="409"/>
      <c r="C24" s="418" t="s">
        <v>548</v>
      </c>
      <c r="D24" s="408" t="s">
        <v>653</v>
      </c>
      <c r="E24" s="409"/>
      <c r="F24" s="421" t="s">
        <v>548</v>
      </c>
      <c r="G24" s="433" t="s">
        <v>572</v>
      </c>
      <c r="H24" s="434"/>
      <c r="I24" s="421" t="s">
        <v>548</v>
      </c>
      <c r="J24" s="408" t="s">
        <v>592</v>
      </c>
      <c r="K24" s="409"/>
      <c r="L24" s="408" t="s">
        <v>547</v>
      </c>
      <c r="M24" s="409"/>
      <c r="N24" s="255"/>
    </row>
    <row r="25" spans="1:14" ht="12.75">
      <c r="A25" s="410"/>
      <c r="B25" s="411"/>
      <c r="C25" s="419"/>
      <c r="D25" s="410"/>
      <c r="E25" s="411"/>
      <c r="F25" s="422"/>
      <c r="G25" s="435"/>
      <c r="H25" s="436"/>
      <c r="I25" s="422"/>
      <c r="J25" s="410"/>
      <c r="K25" s="411"/>
      <c r="L25" s="410"/>
      <c r="M25" s="411"/>
      <c r="N25" s="255"/>
    </row>
    <row r="26" spans="1:14" ht="12.75">
      <c r="A26" s="427" t="s">
        <v>655</v>
      </c>
      <c r="B26" s="409"/>
      <c r="C26" s="419"/>
      <c r="D26" s="427" t="s">
        <v>654</v>
      </c>
      <c r="E26" s="409"/>
      <c r="F26" s="422"/>
      <c r="G26" s="435"/>
      <c r="H26" s="436"/>
      <c r="I26" s="422"/>
      <c r="J26" s="413" t="s">
        <v>576</v>
      </c>
      <c r="K26" s="414"/>
      <c r="L26" s="413" t="s">
        <v>575</v>
      </c>
      <c r="M26" s="414"/>
      <c r="N26" s="255"/>
    </row>
    <row r="27" spans="1:14" ht="12.75" customHeight="1">
      <c r="A27" s="428"/>
      <c r="B27" s="411"/>
      <c r="C27" s="419"/>
      <c r="D27" s="428"/>
      <c r="E27" s="411"/>
      <c r="F27" s="422"/>
      <c r="G27" s="437"/>
      <c r="H27" s="438"/>
      <c r="I27" s="422"/>
      <c r="J27" s="413" t="s">
        <v>595</v>
      </c>
      <c r="K27" s="414"/>
      <c r="L27" s="414"/>
      <c r="M27" s="426"/>
      <c r="N27" s="255"/>
    </row>
    <row r="28" spans="1:14" ht="12.75" customHeight="1">
      <c r="A28" s="414" t="s">
        <v>658</v>
      </c>
      <c r="B28" s="426"/>
      <c r="C28" s="419"/>
      <c r="D28" s="414" t="s">
        <v>574</v>
      </c>
      <c r="E28" s="426"/>
      <c r="F28" s="422"/>
      <c r="G28" s="413" t="s">
        <v>571</v>
      </c>
      <c r="H28" s="426"/>
      <c r="I28" s="422"/>
      <c r="J28" s="410" t="s">
        <v>594</v>
      </c>
      <c r="K28" s="428"/>
      <c r="L28" s="428"/>
      <c r="M28" s="411"/>
      <c r="N28" s="164"/>
    </row>
    <row r="29" spans="1:14" ht="12.75" customHeight="1">
      <c r="A29" s="415" t="s">
        <v>657</v>
      </c>
      <c r="B29" s="417"/>
      <c r="C29" s="420"/>
      <c r="D29" s="416" t="s">
        <v>656</v>
      </c>
      <c r="E29" s="417"/>
      <c r="F29" s="423"/>
      <c r="G29" s="415" t="s">
        <v>659</v>
      </c>
      <c r="H29" s="417"/>
      <c r="I29" s="423"/>
      <c r="J29" s="412" t="s">
        <v>623</v>
      </c>
      <c r="K29" s="412"/>
      <c r="L29" s="412"/>
      <c r="M29" s="299" t="s">
        <v>650</v>
      </c>
      <c r="N29" s="288"/>
    </row>
    <row r="30" spans="1:14" ht="12.75">
      <c r="A30" s="415" t="s">
        <v>651</v>
      </c>
      <c r="B30" s="416"/>
      <c r="C30" s="416"/>
      <c r="D30" s="416"/>
      <c r="E30" s="416"/>
      <c r="F30" s="416"/>
      <c r="G30" s="416"/>
      <c r="H30" s="416"/>
      <c r="I30" s="416"/>
      <c r="J30" s="416"/>
      <c r="K30" s="416"/>
      <c r="L30" s="416"/>
      <c r="M30" s="417"/>
      <c r="N30" s="288"/>
    </row>
    <row r="31" spans="1:13" ht="12.75">
      <c r="A31" s="405" t="s">
        <v>142</v>
      </c>
      <c r="B31" s="406"/>
      <c r="C31" s="406"/>
      <c r="D31" s="406"/>
      <c r="E31" s="406"/>
      <c r="F31" s="406"/>
      <c r="G31" s="406"/>
      <c r="H31" s="406"/>
      <c r="I31" s="406"/>
      <c r="J31" s="406"/>
      <c r="K31" s="406"/>
      <c r="L31" s="406"/>
      <c r="M31" s="407"/>
    </row>
    <row r="32" spans="1:13" ht="12.75">
      <c r="A32" s="60" t="s">
        <v>178</v>
      </c>
      <c r="B32" s="66"/>
      <c r="C32" s="66"/>
      <c r="D32" s="66"/>
      <c r="E32" s="66"/>
      <c r="F32" s="66"/>
      <c r="G32" s="66"/>
      <c r="H32" s="66"/>
      <c r="I32" s="66"/>
      <c r="J32" s="66"/>
      <c r="K32" s="66"/>
      <c r="L32" s="66"/>
      <c r="M32" s="62"/>
    </row>
    <row r="33" spans="1:13" ht="12.75">
      <c r="A33" s="60" t="s">
        <v>179</v>
      </c>
      <c r="B33" s="66"/>
      <c r="C33" s="66"/>
      <c r="D33" s="66"/>
      <c r="E33" s="66"/>
      <c r="F33" s="66"/>
      <c r="G33" s="66"/>
      <c r="H33" s="66"/>
      <c r="I33" s="66"/>
      <c r="J33" s="66"/>
      <c r="K33" s="66"/>
      <c r="L33" s="66"/>
      <c r="M33" s="62"/>
    </row>
    <row r="34" spans="1:13" ht="12.75">
      <c r="A34" s="60" t="s">
        <v>140</v>
      </c>
      <c r="B34" s="66"/>
      <c r="C34" s="66"/>
      <c r="D34" s="66"/>
      <c r="E34" s="66"/>
      <c r="F34" s="66"/>
      <c r="G34" s="66"/>
      <c r="H34" s="66"/>
      <c r="I34" s="66"/>
      <c r="J34" s="66"/>
      <c r="K34" s="66"/>
      <c r="L34" s="66"/>
      <c r="M34" s="62"/>
    </row>
    <row r="35" spans="1:13" ht="12.75">
      <c r="A35" s="60" t="s">
        <v>141</v>
      </c>
      <c r="B35" s="66"/>
      <c r="C35" s="66"/>
      <c r="D35" s="66"/>
      <c r="E35" s="66"/>
      <c r="F35" s="66"/>
      <c r="G35" s="66"/>
      <c r="H35" s="66"/>
      <c r="I35" s="66"/>
      <c r="J35" s="66"/>
      <c r="K35" s="66"/>
      <c r="L35" s="66"/>
      <c r="M35" s="62"/>
    </row>
    <row r="36" spans="1:13" ht="12.75">
      <c r="A36" s="60" t="s">
        <v>144</v>
      </c>
      <c r="B36" s="66"/>
      <c r="C36" s="66"/>
      <c r="D36" s="66"/>
      <c r="E36" s="66"/>
      <c r="F36" s="66"/>
      <c r="G36" s="66"/>
      <c r="H36" s="66"/>
      <c r="I36" s="66"/>
      <c r="J36" s="66"/>
      <c r="K36" s="66"/>
      <c r="L36" s="66"/>
      <c r="M36" s="62"/>
    </row>
    <row r="37" spans="1:13" ht="12.75">
      <c r="A37" s="67"/>
      <c r="B37" s="68"/>
      <c r="C37" s="68"/>
      <c r="D37" s="68"/>
      <c r="E37" s="68"/>
      <c r="F37" s="68"/>
      <c r="G37" s="68"/>
      <c r="H37" s="68"/>
      <c r="I37" s="68"/>
      <c r="J37" s="68"/>
      <c r="K37" s="68"/>
      <c r="L37" s="68"/>
      <c r="M37" s="69"/>
    </row>
    <row r="39" spans="2:3" ht="15">
      <c r="B39" s="39"/>
      <c r="C39" s="39"/>
    </row>
    <row r="40" spans="2:3" ht="15">
      <c r="B40" s="39"/>
      <c r="C40" s="39"/>
    </row>
    <row r="41" spans="2:3" ht="15">
      <c r="B41" s="40"/>
      <c r="C41" s="40"/>
    </row>
    <row r="42" spans="2:3" ht="15">
      <c r="B42" s="40"/>
      <c r="C42" s="40"/>
    </row>
    <row r="43" spans="2:3" ht="15">
      <c r="B43" s="40"/>
      <c r="C43" s="40"/>
    </row>
    <row r="44" spans="2:3" ht="15">
      <c r="B44" s="41"/>
      <c r="C44" s="41"/>
    </row>
    <row r="45" spans="2:3" ht="15">
      <c r="B45" s="41"/>
      <c r="C45" s="41"/>
    </row>
  </sheetData>
  <sheetProtection/>
  <mergeCells count="28">
    <mergeCell ref="J27:M27"/>
    <mergeCell ref="D26:E27"/>
    <mergeCell ref="D28:E28"/>
    <mergeCell ref="I24:I29"/>
    <mergeCell ref="G29:H29"/>
    <mergeCell ref="D29:E29"/>
    <mergeCell ref="G24:H27"/>
    <mergeCell ref="G28:H28"/>
    <mergeCell ref="A23:B23"/>
    <mergeCell ref="A28:B28"/>
    <mergeCell ref="A26:B27"/>
    <mergeCell ref="D24:E25"/>
    <mergeCell ref="J23:K23"/>
    <mergeCell ref="L23:M23"/>
    <mergeCell ref="G23:H23"/>
    <mergeCell ref="D23:E23"/>
    <mergeCell ref="L26:M26"/>
    <mergeCell ref="J28:M28"/>
    <mergeCell ref="A31:M31"/>
    <mergeCell ref="J24:K25"/>
    <mergeCell ref="L24:M25"/>
    <mergeCell ref="A24:B25"/>
    <mergeCell ref="J29:L29"/>
    <mergeCell ref="J26:K26"/>
    <mergeCell ref="A30:M30"/>
    <mergeCell ref="A29:B29"/>
    <mergeCell ref="C24:C29"/>
    <mergeCell ref="F24:F29"/>
  </mergeCells>
  <printOptions/>
  <pageMargins left="0.75" right="0.75" top="1" bottom="1" header="0.5" footer="0.5"/>
  <pageSetup fitToHeight="1" fitToWidth="1" horizontalDpi="200" verticalDpi="200" orientation="landscape"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Brodribb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신복환</cp:lastModifiedBy>
  <cp:lastPrinted>2008-05-29T05:47:37Z</cp:lastPrinted>
  <dcterms:created xsi:type="dcterms:W3CDTF">2007-03-16T02:23:11Z</dcterms:created>
  <dcterms:modified xsi:type="dcterms:W3CDTF">2012-06-21T07:39:22Z</dcterms:modified>
  <cp:category/>
  <cp:version/>
  <cp:contentType/>
  <cp:contentStatus/>
</cp:coreProperties>
</file>